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780" activeTab="0"/>
  </bookViews>
  <sheets>
    <sheet name="Ergebnis" sheetId="1" r:id="rId1"/>
    <sheet name="Zusammenfassung" sheetId="2" r:id="rId2"/>
    <sheet name="Daten" sheetId="3" r:id="rId3"/>
    <sheet name="K + Dneu" sheetId="4" r:id="rId4"/>
    <sheet name="K + R_Auf + GL" sheetId="5" r:id="rId5"/>
    <sheet name="K + R + GL" sheetId="6" r:id="rId6"/>
    <sheet name="K + R + D + GL" sheetId="7" r:id="rId7"/>
    <sheet name="K + B + D + GL" sheetId="8" r:id="rId8"/>
    <sheet name="Erläuterungen" sheetId="9" r:id="rId9"/>
  </sheets>
  <definedNames>
    <definedName name="_xlnm.Print_Area" localSheetId="2">'Daten'!$A$1:$Y$100</definedName>
    <definedName name="_xlnm.Print_Area" localSheetId="7">'K + B + D + GL'!$A$1:$U$23</definedName>
    <definedName name="_xlnm.Print_Area" localSheetId="3">'K + Dneu'!$A$1:$R$44</definedName>
    <definedName name="_xlnm.Print_Area" localSheetId="6">'K + R + D + GL'!$A$1:$U$23</definedName>
    <definedName name="_xlnm.Print_Area" localSheetId="5">'K + R + GL'!$A$1:$U$25</definedName>
    <definedName name="_xlnm.Print_Area" localSheetId="4">'K + R_Auf + GL'!$A$1:$W$41</definedName>
    <definedName name="Drucken_Bereich" localSheetId="7">'K + B + D + GL'!$A$8:$W$39</definedName>
    <definedName name="Drucken_Bereich" localSheetId="6">'K + R + D + GL'!$A$8:$W$39</definedName>
    <definedName name="Drucken_Bereich" localSheetId="5">'K + R + GL'!$A$10:$W$41</definedName>
    <definedName name="Drucken_Bereich" localSheetId="4">'K + R_Auf + GL'!$A$11:$W$42</definedName>
    <definedName name="Drucken_Bereich">'K + Dneu'!$A$10:$T$41</definedName>
    <definedName name="_xlnm.Print_Titles" localSheetId="7">'K + B + D + GL'!$A:$A,'K + B + D + GL'!$8:$9</definedName>
    <definedName name="_xlnm.Print_Titles" localSheetId="3">'K + Dneu'!$A:$A,'K + Dneu'!$10:$11</definedName>
    <definedName name="_xlnm.Print_Titles" localSheetId="6">'K + R + D + GL'!$A:$A,'K + R + D + GL'!$8:$9</definedName>
    <definedName name="_xlnm.Print_Titles" localSheetId="5">'K + R + GL'!$A:$A,'K + R + GL'!$10:$11</definedName>
    <definedName name="_xlnm.Print_Titles" localSheetId="4">'K + R_Auf + GL'!$A:$A,'K + R_Auf + GL'!$11:$12</definedName>
  </definedNames>
  <calcPr fullCalcOnLoad="1"/>
</workbook>
</file>

<file path=xl/sharedStrings.xml><?xml version="1.0" encoding="utf-8"?>
<sst xmlns="http://schemas.openxmlformats.org/spreadsheetml/2006/main" count="596" uniqueCount="226">
  <si>
    <t>(2015 durch Interpolation errechnet)</t>
  </si>
  <si>
    <t>Anzahl Funktionsräume (neben vollwertigen Klassenzimmern)</t>
  </si>
  <si>
    <t>Anzahl als Klassenzimmer nutzbare Räume</t>
  </si>
  <si>
    <t>Schüler</t>
  </si>
  <si>
    <t>Anzahl vollwertige Klassenzimmer</t>
  </si>
  <si>
    <t>Diemarden alt</t>
  </si>
  <si>
    <t>Diemarden neu</t>
  </si>
  <si>
    <t>Extrapolation nach der 11. koordinierten Bevölkerungsvorausberechnung (Stat. Bundesamt, 2006): Variante "Untergrenze der mittleren Bevölkerung", Indexwerte 6 bis unter 10jährige</t>
  </si>
  <si>
    <t>Fläche od. Anzahl</t>
  </si>
  <si>
    <t>GS Kerstlingerode</t>
  </si>
  <si>
    <t>Kosten/m²</t>
  </si>
  <si>
    <t>Schüler 1. Klasse</t>
  </si>
  <si>
    <t>Dacheindeckung incl. Dämmung</t>
  </si>
  <si>
    <t>dav. Heizk. (2007)</t>
  </si>
  <si>
    <t>Klassen</t>
  </si>
  <si>
    <t>Eigenbeteiligung</t>
  </si>
  <si>
    <t>Gesamt</t>
  </si>
  <si>
    <t>Kosten/
Fenster</t>
  </si>
  <si>
    <t>Fassadendämmung</t>
  </si>
  <si>
    <t>Funktionsräume</t>
  </si>
  <si>
    <t>Flure u.a.</t>
  </si>
  <si>
    <t xml:space="preserve">GS Groß Lengden </t>
  </si>
  <si>
    <t>Gruppenräume</t>
  </si>
  <si>
    <t>Indexpunkte (2005 = 100)</t>
  </si>
  <si>
    <t>Incl. Einrichtung, ohne Grundstück</t>
  </si>
  <si>
    <t>Klassenräume</t>
  </si>
  <si>
    <t>Kostenübernahme Kreis-Schulbaukasse</t>
  </si>
  <si>
    <t>m²</t>
  </si>
  <si>
    <t>GS Bremke</t>
  </si>
  <si>
    <t>GS Diemarden</t>
  </si>
  <si>
    <t>GS Reinhausen</t>
  </si>
  <si>
    <t>lfd. Kosten
(Ø 04 - 08)</t>
  </si>
  <si>
    <t>Eingangselement Altbau</t>
  </si>
  <si>
    <t>Eingangselement Neubau</t>
  </si>
  <si>
    <t>Schüler gesamt</t>
  </si>
  <si>
    <t>Sanitäranlagen</t>
  </si>
  <si>
    <t>Fensteraustausch</t>
  </si>
  <si>
    <t>Heizungserneuerung</t>
  </si>
  <si>
    <t>Kerstlingerode</t>
  </si>
  <si>
    <t>Lehrer-/Schulleiterr.</t>
  </si>
  <si>
    <t>lfd. Kosten</t>
  </si>
  <si>
    <t>Schuljahr 2007/2008</t>
  </si>
  <si>
    <t>Schuljahr 2008/2009</t>
  </si>
  <si>
    <t>Schuljahr 2009/2010</t>
  </si>
  <si>
    <t>Schuljahr 2010/2011</t>
  </si>
  <si>
    <t>Schuljahr 2011/2012</t>
  </si>
  <si>
    <t>Schuljahr 2012/2013</t>
  </si>
  <si>
    <t>Schuljahr 2013/2014</t>
  </si>
  <si>
    <t>Schuljahr 2014/2015</t>
  </si>
  <si>
    <t>Schuljahr 2020</t>
  </si>
  <si>
    <t>Schuljahr 2030</t>
  </si>
  <si>
    <t>Schuljahr 2040</t>
  </si>
  <si>
    <t>Schuljahr 2050</t>
  </si>
  <si>
    <t>Summe</t>
  </si>
  <si>
    <t>Zinssatz</t>
  </si>
  <si>
    <t>Doppelstegplatten / Glasbausteine</t>
  </si>
  <si>
    <t>Eingangstür</t>
  </si>
  <si>
    <t>Ausgangstür Geräteraum</t>
  </si>
  <si>
    <r>
      <t>Entwicklung der Schülerzahlen</t>
    </r>
    <r>
      <rPr>
        <sz val="10"/>
        <rFont val="Arial"/>
        <family val="2"/>
      </rPr>
      <t xml:space="preserve"> (Quelle: Ratsinformation der Verwaltung vom 21.01.2009)</t>
    </r>
  </si>
  <si>
    <r>
      <t>Entwicklung der jährlichen Standortkosten</t>
    </r>
    <r>
      <rPr>
        <b/>
        <sz val="10"/>
        <rFont val="Arial"/>
        <family val="2"/>
      </rPr>
      <t xml:space="preserve"> (Quelle: Ratsinformation der Verwaltung vom 21.01.2009 ohne jährl. Preissteigerung)</t>
    </r>
  </si>
  <si>
    <t>Investitionskosten gesamt</t>
  </si>
  <si>
    <t>Invest-Kosten</t>
  </si>
  <si>
    <t>Ermittlung der jährlichen Kosten über Annuitätsrechnung: Zins und Tilgung sind während der Kreditlaufzeit konstant</t>
  </si>
  <si>
    <t>Laufzeit</t>
  </si>
  <si>
    <t>Jahre</t>
  </si>
  <si>
    <t>Annuitätsformel: (((Zinssatz*(1+Zinssatz)^Laufzeit)/((1+Zinssatz)^Laufzeit-1))*Investitionssumme)</t>
  </si>
  <si>
    <r>
      <t>Sanierung Schulgebäude</t>
    </r>
    <r>
      <rPr>
        <b/>
        <sz val="10"/>
        <rFont val="Arial"/>
        <family val="2"/>
      </rPr>
      <t xml:space="preserve"> (Quelle: Ratsinformation der Verwaltung vom 21.01.2009 ohne Annuitätsberechnung)</t>
    </r>
  </si>
  <si>
    <r>
      <t xml:space="preserve">Sanierung Sporthallen </t>
    </r>
    <r>
      <rPr>
        <b/>
        <sz val="10"/>
        <rFont val="Arial"/>
        <family val="2"/>
      </rPr>
      <t xml:space="preserve"> (Quelle: Ratsinformation der Verwaltung vom 21.01.2009 ohne Annuitätsberechnung)</t>
    </r>
  </si>
  <si>
    <t xml:space="preserve"> (Quelle: Ratsinformation der Verwaltung vom 21.01.2009 ohne Annuitätsberechnung)</t>
  </si>
  <si>
    <t>KFW-Kredit für energetische Sanierung</t>
  </si>
  <si>
    <t>normaler Kommunalkredit</t>
  </si>
  <si>
    <t>Annuität</t>
  </si>
  <si>
    <t xml:space="preserve"> 33 / 30</t>
  </si>
  <si>
    <t>30 / 27</t>
  </si>
  <si>
    <t>(Quelle: Ratsinformation der Verwaltung vom ?)</t>
  </si>
  <si>
    <t>Investitionskosten: Sanierung und Brandschutz</t>
  </si>
  <si>
    <t>Leerstandskosten jährlich</t>
  </si>
  <si>
    <r>
      <t xml:space="preserve">Neubaukosten </t>
    </r>
    <r>
      <rPr>
        <b/>
        <sz val="10"/>
        <rFont val="Arial"/>
        <family val="2"/>
      </rPr>
      <t>(Quelle: Ratsinformation der Verwaltung vom 21.01.2009 ohne Annuität)</t>
    </r>
  </si>
  <si>
    <t>Anteil Flure u.a.</t>
  </si>
  <si>
    <t>Baukosten / m²
incl. Einrichtung, ohne Grundstück</t>
  </si>
  <si>
    <t>Kreditlaufzeit</t>
  </si>
  <si>
    <t>KFW-Kredit Infrastruktur (Fördergebiet)</t>
  </si>
  <si>
    <t>Flächenbedarf Klassenraum</t>
  </si>
  <si>
    <t>Flächenbedarf Funktionsraum</t>
  </si>
  <si>
    <t>Flächenbedarf Gruppenraum</t>
  </si>
  <si>
    <t>Flächenbedarf Lehrer-/Schulleiterraum</t>
  </si>
  <si>
    <t>Förderung Investitionspaket</t>
  </si>
  <si>
    <t>Förder-quote</t>
  </si>
  <si>
    <r>
      <t xml:space="preserve">Kostenschätzung Architekt </t>
    </r>
    <r>
      <rPr>
        <b/>
        <sz val="10"/>
        <rFont val="Arial"/>
        <family val="2"/>
      </rPr>
      <t xml:space="preserve"> (Quelle: Gleichen-Rundschau Mai 2009)</t>
    </r>
  </si>
  <si>
    <t>Eigen-quote</t>
  </si>
  <si>
    <r>
      <t xml:space="preserve">Förderung Investitionspaket </t>
    </r>
    <r>
      <rPr>
        <b/>
        <sz val="10"/>
        <rFont val="Arial"/>
        <family val="2"/>
      </rPr>
      <t xml:space="preserve"> (Quelle: Gleichen-Rundschau Mai 2009)</t>
    </r>
  </si>
  <si>
    <t>Summe abzgl. Förderung</t>
  </si>
  <si>
    <t>- Schulneubau in Diemarden: ab Schuljahr 11/12 bezugsfertig</t>
  </si>
  <si>
    <t>Brandschutz Schulgebäude ohne OG Neubau</t>
  </si>
  <si>
    <t>Investitionskosten Diemarden neu</t>
  </si>
  <si>
    <t>Baukosten</t>
  </si>
  <si>
    <t>Anteil Schulbaukasse</t>
  </si>
  <si>
    <t>- laufende Betriebskosten Schulneubau:</t>
  </si>
  <si>
    <t>Leerstands-</t>
  </si>
  <si>
    <t>kosten</t>
  </si>
  <si>
    <t>Variante 5 Standorte</t>
  </si>
  <si>
    <t>Variante Kerstlingerode und Diemarden neu</t>
  </si>
  <si>
    <t>dav. Unterhalt.
kosten</t>
  </si>
  <si>
    <t>dav. Hausm.
Lehrm. etc.</t>
  </si>
  <si>
    <t>Die allgemeine Preissteigerung wird nicht berücksichtigt, weil eine entsprechende Geldentwertung stattfindet</t>
  </si>
  <si>
    <t>Durchschnittliche Inflationsrate seit 1975: 2,5%</t>
  </si>
  <si>
    <t>jährl. Energiepreissteigerung über der Inflationsrate bis 2030:</t>
  </si>
  <si>
    <t>Limitierung der Energiepreissteigerung bis 2030, aufgrund technischem Fortschritt.</t>
  </si>
  <si>
    <t>Durschschnittliche Preisentwicklung Heizöl und Erdgas 1999 bis 2009: 9%</t>
  </si>
  <si>
    <t>d.h. überdurchschnittliche Preissteigerung der Energiepreise um 6,5%</t>
  </si>
  <si>
    <t>Die Förderung durch das Investitionspaket (Schule Kerstlinerode 240000 Euro) wird nicht mehr berechnet, weil diese für Brandschutz ausgegeben wird</t>
  </si>
  <si>
    <t>Der Brandschutz wird nicht mehr einkalkuliert (Sowieso-Kosten)</t>
  </si>
  <si>
    <t xml:space="preserve">   - jährliche Steigerung der lfd. Kosten wg. Energiepreissteigerung</t>
  </si>
  <si>
    <t>(Kerstlingerode: 1,5%)</t>
  </si>
  <si>
    <t>AfA</t>
  </si>
  <si>
    <t>- AfA-Zeitraum für Investkosten</t>
  </si>
  <si>
    <t>Summe ohne AfA</t>
  </si>
  <si>
    <t>Gesamt
ohne AfA</t>
  </si>
  <si>
    <t>Invest
Annuität</t>
  </si>
  <si>
    <t>AfA Invest</t>
  </si>
  <si>
    <t>Summe ohne AfA und Leerstandsk.</t>
  </si>
  <si>
    <t>- Leerstandskosten nur informell, weil Verkaufserlöse und Wegfall der Leerstandskosten nicht kalkulierbar</t>
  </si>
  <si>
    <t>Die Kosten für die Ganztagsschulen werden eingerechnet</t>
  </si>
  <si>
    <t>Einsparung Ganztagsschule</t>
  </si>
  <si>
    <t>Invest.
Annuität</t>
  </si>
  <si>
    <t>Grundstücksfläche</t>
  </si>
  <si>
    <t>Grundstück</t>
  </si>
  <si>
    <t>oh. Grundst.</t>
  </si>
  <si>
    <t>mit Grundst.</t>
  </si>
  <si>
    <t>Variante Kerstlingerode + Reinhausen + Groß Lengden</t>
  </si>
  <si>
    <t>- Kerstlingerode mit bisherigen Einzugsbereich; keine Sanierung</t>
  </si>
  <si>
    <t>- Weiterbetrieb alte Schule Diemarden ohne Sanierung bis einschl. 13/14 (Nutzung als Pufferkapazität)</t>
  </si>
  <si>
    <t>Diemarden</t>
  </si>
  <si>
    <t>Bremke</t>
  </si>
  <si>
    <t>Reinhausen</t>
  </si>
  <si>
    <t>nach Reinhausen</t>
  </si>
  <si>
    <t>Groß Lengden</t>
  </si>
  <si>
    <t>Leerstandskosten nur informell, weil Verkaufserlöse und Wegfall der Leerstandskosten nicht kalkulierbar</t>
  </si>
  <si>
    <t>- Aufstockung Schulgebäude Reinhausen (+ 2 Klassenräume)</t>
  </si>
  <si>
    <t>mit / ohne OG</t>
  </si>
  <si>
    <t>11 / 9</t>
  </si>
  <si>
    <t>10 / 8</t>
  </si>
  <si>
    <t>mit / ohne Aufstockung</t>
  </si>
  <si>
    <t xml:space="preserve">8 / 6 </t>
  </si>
  <si>
    <t>Investitionskosten Aufstockung Reinhausen</t>
  </si>
  <si>
    <t>Baukosten incl. Einr.</t>
  </si>
  <si>
    <t>- Mehrkosten lfd. Kosten für Aufstockung</t>
  </si>
  <si>
    <t>Schuljahr 2015/2016</t>
  </si>
  <si>
    <t>Fläche:</t>
  </si>
  <si>
    <t>Unterhalt ca. 8 €/m² x a</t>
  </si>
  <si>
    <t>(400 €/m² über Nutzungszeitraum 50 Jahre)</t>
  </si>
  <si>
    <t>Instandhaltung</t>
  </si>
  <si>
    <t>m² x a</t>
  </si>
  <si>
    <t>gesamt x a</t>
  </si>
  <si>
    <t>nach Reinh.und G. Lengden</t>
  </si>
  <si>
    <t>Bei Neubau ggf. Einsparung bei Einrichtung wg. Übernahme aus anderen Schulen</t>
  </si>
  <si>
    <t>Nur Produktspezifische Preissteigerungen, die über der allgemeinen Inflationsrate liegen werden berücksichtigt, unter Abzug der allgemeinen Preissteigerungsrate (Energiepreise)</t>
  </si>
  <si>
    <t>ab 2012/13 mit KL. Lengden</t>
  </si>
  <si>
    <t xml:space="preserve">- keine Aufstockung Schulgebäude Reinhausen </t>
  </si>
  <si>
    <t>Variante Kerstlingerode + Bremke + Diemarden + Groß Lengden</t>
  </si>
  <si>
    <t>Zwischensumme:</t>
  </si>
  <si>
    <t>Neubau Diemarden mit 10 Klassenräumen</t>
  </si>
  <si>
    <t>Umzug Bremke, Reinhausen u. Gr. L in 2011/12</t>
  </si>
  <si>
    <t>Weiternutzung alte Schule Diemarden bis 2014/15</t>
  </si>
  <si>
    <t>Aufstockung Reinhausen um 2 Klassenräume</t>
  </si>
  <si>
    <t>Umzug Bremke nach Reinh. 2011/12</t>
  </si>
  <si>
    <t>ab 2015/16 mit Klein Lengden</t>
  </si>
  <si>
    <t>Klein L nach Gr. L 2015/16</t>
  </si>
  <si>
    <t>Diemarden nach Reinhausen 2015/16</t>
  </si>
  <si>
    <t>keine Baumaßnahmen</t>
  </si>
  <si>
    <t>Bremke 2013/14 nach Reinhausen</t>
  </si>
  <si>
    <t>Diemarden 2014/15 nach Reinh. U. Gr.L</t>
  </si>
  <si>
    <t>aufgeteilt nach Bedarf</t>
  </si>
  <si>
    <t>Reinhausen 2012/13 2/3 nach Bremke</t>
  </si>
  <si>
    <t>und 1/3 nach Diemarden</t>
  </si>
  <si>
    <t>Kl. Lengd. 2012/13 nach Gr. Lengd.</t>
  </si>
  <si>
    <t>Variante 2 Standorte</t>
  </si>
  <si>
    <t>Kerstlingerode und Diemarden neu</t>
  </si>
  <si>
    <t>Variante 3 Standorte</t>
  </si>
  <si>
    <t>Kerstl. + Reinh. incl. Aufstockung + Groß Lengden</t>
  </si>
  <si>
    <t>Kerstl. + Reinh. + Groß Leng.</t>
  </si>
  <si>
    <t>Variante 4 Standorte</t>
  </si>
  <si>
    <t>Kerstl. + Bremke + Diem. + Groß L.</t>
  </si>
  <si>
    <t>Variante Kerstlingerode + Reinhausen + Diemarden + Groß Lengden</t>
  </si>
  <si>
    <t>- Belegung je eines Klassenzimmer für Ganztagsbetreuung</t>
  </si>
  <si>
    <t>- keine sonstige Sanierung Reinhausen und Groß Lengden</t>
  </si>
  <si>
    <t>- keine sonstige Sanierung Reinhausen, Kerstlingerode, Groß Lengden</t>
  </si>
  <si>
    <t>- keine sonstige Sanierung aller verbleibenen Schulen</t>
  </si>
  <si>
    <t>- keine sonstige Sanierung  aller verbliebenen Schulen</t>
  </si>
  <si>
    <t>- Nutzung neue und alte Schule als Schulzentrum für alle Einzugsgebiete außer Kerstlingerode ab 11/12.</t>
  </si>
  <si>
    <t>Mehrkosten Aufstock.</t>
  </si>
  <si>
    <t>- Klein-Lengder Kinder nach Groß Lengden 15/16</t>
  </si>
  <si>
    <t>- Umzug Bremke 11/12 und Diemarden 15/16 nach Reinhausen</t>
  </si>
  <si>
    <t>- Umzug Bremke nach Reinhausen 13/14</t>
  </si>
  <si>
    <t>- Diemarden 2014/15 nach Reinhausen und Groß Lengden (Aufteilung nach Kapazität der beiden Schulen)</t>
  </si>
  <si>
    <t>- Klein-Lengder Kinder nach Groß Lengden 12/13</t>
  </si>
  <si>
    <t>- Umzug Reinhausen zu 1/3 nach Bremke und 2/3 nach Diemarden 12/13</t>
  </si>
  <si>
    <t>Die Grundstückskosten für den Schulneubau Diemarden (3000 m² x 80 Euro/m²) wurden in die Annuität eingerechnet.</t>
  </si>
  <si>
    <t>Reinhausen zu 2/3 nach Bremke und 1/3 nach Diem.</t>
  </si>
  <si>
    <t>Kerstl. + Reinh. + Diem. + Groß L.</t>
  </si>
  <si>
    <t>Bremke nach Reinhausen 13/14</t>
  </si>
  <si>
    <t>Einschätzung der Klassenanzahl anhand von Erfahrungswerten (Gesamtanzahl der Klassen kann  je nach Standortvariante variieren)</t>
  </si>
  <si>
    <t>5 Standorte</t>
  </si>
  <si>
    <t>2 Standorte</t>
  </si>
  <si>
    <t>Diem. Neu</t>
  </si>
  <si>
    <t>3 Standorte</t>
  </si>
  <si>
    <t>4 Standorte</t>
  </si>
  <si>
    <t>Reinh. Aufst.</t>
  </si>
  <si>
    <t>K+D</t>
  </si>
  <si>
    <t>K+R+GL</t>
  </si>
  <si>
    <t>K+R+D+GL</t>
  </si>
  <si>
    <t>K+B+D+GL</t>
  </si>
  <si>
    <t>Anzahl Standorte</t>
  </si>
  <si>
    <t>Schulen</t>
  </si>
  <si>
    <t>K+R+B+D+GL</t>
  </si>
  <si>
    <t>Baumaßnahme</t>
  </si>
  <si>
    <t>Gesamtkosten verschiedener Schulstandortvarianten</t>
  </si>
  <si>
    <t>Lfd. Kosten und Invest (Annuität), ohne AfA</t>
  </si>
  <si>
    <t>incl. Synergien bei Ganztagsschule (5.000 Euro je eingesparter Schulstandort)</t>
  </si>
  <si>
    <t>Varianten-Nr.</t>
  </si>
  <si>
    <t>Variante Nr. 1</t>
  </si>
  <si>
    <t>Variante Nr. 2</t>
  </si>
  <si>
    <t>Variante Nr. 3</t>
  </si>
  <si>
    <t>Variante Nr. 4</t>
  </si>
  <si>
    <t>Variante Nr. 5</t>
  </si>
  <si>
    <t>Variante Nr. 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</si>
</sst>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€&quot;"/>
    <numFmt numFmtId="166" formatCode="#,##0\ _€"/>
    <numFmt numFmtId="167" formatCode="0.0"/>
    <numFmt numFmtId="168" formatCode="0.0%"/>
    <numFmt numFmtId="169" formatCode="#,##0.0\ &quot;€&quot;"/>
    <numFmt numFmtId="170" formatCode="0.000"/>
    <numFmt numFmtId="171" formatCode="0.000000"/>
    <numFmt numFmtId="172" formatCode="0.00000"/>
    <numFmt numFmtId="173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i/>
      <sz val="8"/>
      <name val="Arial"/>
      <family val="0"/>
    </font>
    <font>
      <i/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127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9"/>
      </top>
      <bottom>
        <color indexed="63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>
        <color indexed="63"/>
      </right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>
        <color indexed="63"/>
      </right>
      <top>
        <color indexed="9"/>
      </top>
      <bottom>
        <color indexed="9"/>
      </bottom>
    </border>
    <border>
      <left style="medium">
        <color indexed="9"/>
      </left>
      <right style="thin">
        <color indexed="9"/>
      </right>
      <top style="medium"/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9"/>
      </right>
      <top style="thin">
        <color indexed="9"/>
      </top>
      <bottom style="medium"/>
    </border>
    <border>
      <left style="medium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medium"/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9"/>
      </right>
      <top>
        <color indexed="9"/>
      </top>
      <bottom>
        <color indexed="63"/>
      </bottom>
    </border>
    <border>
      <left>
        <color indexed="9"/>
      </left>
      <right style="medium"/>
      <top>
        <color indexed="9"/>
      </top>
      <bottom>
        <color indexed="63"/>
      </bottom>
    </border>
    <border>
      <left style="medium"/>
      <right>
        <color indexed="9"/>
      </right>
      <top style="medium"/>
      <bottom>
        <color indexed="9"/>
      </bottom>
    </border>
    <border>
      <left>
        <color indexed="9"/>
      </left>
      <right>
        <color indexed="9"/>
      </right>
      <top style="medium"/>
      <bottom>
        <color indexed="9"/>
      </bottom>
    </border>
    <border>
      <left>
        <color indexed="9"/>
      </left>
      <right>
        <color indexed="63"/>
      </right>
      <top style="medium"/>
      <bottom>
        <color indexed="9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9"/>
      </bottom>
    </border>
    <border>
      <left style="medium"/>
      <right style="medium"/>
      <top>
        <color indexed="9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9"/>
      </right>
      <top style="medium"/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9"/>
      </right>
      <top style="medium"/>
      <bottom>
        <color indexed="9"/>
      </bottom>
    </border>
    <border>
      <left>
        <color indexed="9"/>
      </left>
      <right style="medium"/>
      <top style="medium"/>
      <bottom>
        <color indexed="9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9" fontId="0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</cellStyleXfs>
  <cellXfs count="777">
    <xf numFmtId="0" fontId="0" fillId="0" borderId="0" xfId="0" applyAlignment="1">
      <alignment/>
    </xf>
    <xf numFmtId="0" fontId="2" fillId="0" borderId="0" xfId="17">
      <alignment/>
      <protection/>
    </xf>
    <xf numFmtId="0" fontId="3" fillId="0" borderId="0" xfId="17">
      <alignment/>
      <protection/>
    </xf>
    <xf numFmtId="0" fontId="3" fillId="0" borderId="0" xfId="17">
      <alignment horizontal="center"/>
      <protection/>
    </xf>
    <xf numFmtId="0" fontId="4" fillId="0" borderId="0" xfId="17">
      <alignment/>
      <protection/>
    </xf>
    <xf numFmtId="1" fontId="3" fillId="0" borderId="0" xfId="17">
      <alignment/>
      <protection/>
    </xf>
    <xf numFmtId="0" fontId="2" fillId="0" borderId="0" xfId="17">
      <alignment horizontal="center"/>
      <protection/>
    </xf>
    <xf numFmtId="3" fontId="3" fillId="0" borderId="0" xfId="17">
      <alignment horizontal="center"/>
      <protection/>
    </xf>
    <xf numFmtId="9" fontId="3" fillId="0" borderId="0" xfId="15">
      <alignment/>
      <protection/>
    </xf>
    <xf numFmtId="0" fontId="2" fillId="0" borderId="0" xfId="17">
      <alignment horizontal="left"/>
      <protection/>
    </xf>
    <xf numFmtId="3" fontId="2" fillId="0" borderId="0" xfId="15">
      <alignment horizontal="center"/>
      <protection/>
    </xf>
    <xf numFmtId="3" fontId="3" fillId="0" borderId="0" xfId="15">
      <alignment horizontal="center"/>
      <protection/>
    </xf>
    <xf numFmtId="3" fontId="2" fillId="0" borderId="0" xfId="15">
      <alignment/>
      <protection/>
    </xf>
    <xf numFmtId="0" fontId="3" fillId="0" borderId="0" xfId="17">
      <alignment wrapText="1"/>
      <protection/>
    </xf>
    <xf numFmtId="0" fontId="3" fillId="0" borderId="0" xfId="17">
      <alignment horizontal="center" wrapText="1"/>
      <protection/>
    </xf>
    <xf numFmtId="0" fontId="2" fillId="0" borderId="0" xfId="17">
      <alignment horizontal="center" wrapText="1"/>
      <protection/>
    </xf>
    <xf numFmtId="3" fontId="2" fillId="0" borderId="0" xfId="17">
      <alignment horizontal="center"/>
      <protection/>
    </xf>
    <xf numFmtId="0" fontId="7" fillId="0" borderId="0" xfId="17">
      <alignment horizontal="center"/>
      <protection/>
    </xf>
    <xf numFmtId="1" fontId="3" fillId="0" borderId="0" xfId="17">
      <alignment horizontal="center"/>
      <protection/>
    </xf>
    <xf numFmtId="0" fontId="5" fillId="0" borderId="0" xfId="17">
      <alignment horizontal="center"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9" fontId="3" fillId="0" borderId="0" xfId="18" applyFont="1">
      <alignment/>
      <protection/>
    </xf>
    <xf numFmtId="0" fontId="3" fillId="0" borderId="0" xfId="17" applyFont="1">
      <alignment horizontal="center"/>
      <protection/>
    </xf>
    <xf numFmtId="0" fontId="3" fillId="0" borderId="0" xfId="17" applyFont="1" quotePrefix="1">
      <alignment/>
      <protection/>
    </xf>
    <xf numFmtId="0" fontId="3" fillId="0" borderId="0" xfId="17" applyBorder="1">
      <alignment/>
      <protection/>
    </xf>
    <xf numFmtId="0" fontId="3" fillId="0" borderId="0" xfId="17" applyBorder="1">
      <alignment/>
      <protection/>
    </xf>
    <xf numFmtId="0" fontId="3" fillId="0" borderId="0" xfId="17" applyFont="1" applyAlignment="1">
      <alignment horizontal="left"/>
      <protection/>
    </xf>
    <xf numFmtId="0" fontId="3" fillId="0" borderId="0" xfId="17" applyBorder="1">
      <alignment/>
      <protection/>
    </xf>
    <xf numFmtId="0" fontId="2" fillId="0" borderId="0" xfId="17" applyBorder="1">
      <alignment/>
      <protection/>
    </xf>
    <xf numFmtId="0" fontId="3" fillId="0" borderId="0" xfId="17" applyBorder="1">
      <alignment/>
      <protection/>
    </xf>
    <xf numFmtId="0" fontId="3" fillId="0" borderId="0" xfId="17" applyBorder="1">
      <alignment horizontal="center"/>
      <protection/>
    </xf>
    <xf numFmtId="9" fontId="3" fillId="0" borderId="0" xfId="15" applyBorder="1">
      <alignment/>
      <protection/>
    </xf>
    <xf numFmtId="0" fontId="3" fillId="0" borderId="0" xfId="17" applyBorder="1">
      <alignment horizontal="center"/>
      <protection/>
    </xf>
    <xf numFmtId="0" fontId="2" fillId="0" borderId="1" xfId="17" applyBorder="1">
      <alignment/>
      <protection/>
    </xf>
    <xf numFmtId="0" fontId="3" fillId="0" borderId="2" xfId="17" applyBorder="1">
      <alignment/>
      <protection/>
    </xf>
    <xf numFmtId="0" fontId="3" fillId="0" borderId="0" xfId="17" applyBorder="1">
      <alignment horizontal="center"/>
      <protection/>
    </xf>
    <xf numFmtId="0" fontId="2" fillId="0" borderId="3" xfId="17" applyBorder="1">
      <alignment/>
      <protection/>
    </xf>
    <xf numFmtId="0" fontId="3" fillId="0" borderId="3" xfId="17" applyBorder="1">
      <alignment/>
      <protection/>
    </xf>
    <xf numFmtId="0" fontId="2" fillId="0" borderId="0" xfId="17" applyBorder="1">
      <alignment/>
      <protection/>
    </xf>
    <xf numFmtId="0" fontId="3" fillId="0" borderId="4" xfId="17" applyBorder="1">
      <alignment horizontal="center"/>
      <protection/>
    </xf>
    <xf numFmtId="0" fontId="3" fillId="0" borderId="5" xfId="17" applyBorder="1">
      <alignment/>
      <protection/>
    </xf>
    <xf numFmtId="0" fontId="3" fillId="0" borderId="6" xfId="17" applyBorder="1">
      <alignment horizontal="center" wrapText="1"/>
      <protection/>
    </xf>
    <xf numFmtId="0" fontId="3" fillId="0" borderId="6" xfId="17" applyFont="1" applyBorder="1">
      <alignment horizontal="center" wrapText="1"/>
      <protection/>
    </xf>
    <xf numFmtId="165" fontId="3" fillId="0" borderId="6" xfId="17" applyNumberFormat="1" applyBorder="1">
      <alignment/>
      <protection/>
    </xf>
    <xf numFmtId="0" fontId="3" fillId="0" borderId="6" xfId="17" applyBorder="1">
      <alignment/>
      <protection/>
    </xf>
    <xf numFmtId="0" fontId="3" fillId="0" borderId="6" xfId="17" applyBorder="1">
      <alignment horizontal="center"/>
      <protection/>
    </xf>
    <xf numFmtId="0" fontId="2" fillId="0" borderId="0" xfId="17" applyBorder="1">
      <alignment/>
      <protection/>
    </xf>
    <xf numFmtId="0" fontId="2" fillId="0" borderId="0" xfId="17" applyBorder="1">
      <alignment/>
      <protection/>
    </xf>
    <xf numFmtId="165" fontId="3" fillId="0" borderId="7" xfId="17" applyNumberFormat="1" applyBorder="1">
      <alignment horizontal="center" wrapText="1"/>
      <protection/>
    </xf>
    <xf numFmtId="0" fontId="3" fillId="0" borderId="8" xfId="17" applyBorder="1">
      <alignment/>
      <protection/>
    </xf>
    <xf numFmtId="0" fontId="3" fillId="0" borderId="9" xfId="17" applyBorder="1">
      <alignment horizontal="center" wrapText="1"/>
      <protection/>
    </xf>
    <xf numFmtId="0" fontId="3" fillId="0" borderId="10" xfId="17" applyFont="1" applyBorder="1">
      <alignment/>
      <protection/>
    </xf>
    <xf numFmtId="0" fontId="3" fillId="0" borderId="9" xfId="17" applyBorder="1">
      <alignment/>
      <protection/>
    </xf>
    <xf numFmtId="0" fontId="3" fillId="0" borderId="9" xfId="17" applyBorder="1">
      <alignment horizontal="center"/>
      <protection/>
    </xf>
    <xf numFmtId="0" fontId="3" fillId="0" borderId="10" xfId="17" applyBorder="1">
      <alignment/>
      <protection/>
    </xf>
    <xf numFmtId="0" fontId="3" fillId="0" borderId="11" xfId="17" applyBorder="1">
      <alignment/>
      <protection/>
    </xf>
    <xf numFmtId="165" fontId="2" fillId="0" borderId="12" xfId="17" applyNumberFormat="1" applyFont="1" applyBorder="1">
      <alignment horizontal="center" wrapText="1"/>
      <protection/>
    </xf>
    <xf numFmtId="0" fontId="2" fillId="0" borderId="0" xfId="17" applyFont="1" applyBorder="1">
      <alignment horizontal="center"/>
      <protection/>
    </xf>
    <xf numFmtId="0" fontId="2" fillId="0" borderId="0" xfId="17" applyFont="1" applyBorder="1">
      <alignment horizontal="center"/>
      <protection/>
    </xf>
    <xf numFmtId="0" fontId="2" fillId="0" borderId="0" xfId="17" applyFont="1" applyBorder="1">
      <alignment/>
      <protection/>
    </xf>
    <xf numFmtId="0" fontId="2" fillId="0" borderId="0" xfId="0" applyFont="1" applyBorder="1" applyAlignment="1">
      <alignment/>
    </xf>
    <xf numFmtId="0" fontId="2" fillId="0" borderId="0" xfId="17" applyFont="1" applyBorder="1">
      <alignment horizontal="left" wrapText="1"/>
      <protection/>
    </xf>
    <xf numFmtId="165" fontId="3" fillId="0" borderId="0" xfId="17" applyNumberFormat="1" applyBorder="1">
      <alignment horizontal="center" wrapText="1"/>
      <protection/>
    </xf>
    <xf numFmtId="0" fontId="2" fillId="0" borderId="0" xfId="17" applyFont="1" applyBorder="1">
      <alignment horizontal="center"/>
      <protection/>
    </xf>
    <xf numFmtId="165" fontId="2" fillId="0" borderId="0" xfId="17" applyNumberFormat="1" applyFont="1" applyBorder="1">
      <alignment horizontal="center"/>
      <protection/>
    </xf>
    <xf numFmtId="0" fontId="3" fillId="0" borderId="0" xfId="17" applyBorder="1">
      <alignment/>
      <protection/>
    </xf>
    <xf numFmtId="165" fontId="3" fillId="0" borderId="0" xfId="17" applyNumberFormat="1" applyBorder="1">
      <alignment/>
      <protection/>
    </xf>
    <xf numFmtId="0" fontId="3" fillId="0" borderId="0" xfId="17" applyBorder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17" applyBorder="1">
      <alignment horizontal="center"/>
      <protection/>
    </xf>
    <xf numFmtId="0" fontId="0" fillId="0" borderId="0" xfId="0" applyBorder="1" applyAlignment="1">
      <alignment/>
    </xf>
    <xf numFmtId="0" fontId="3" fillId="0" borderId="0" xfId="17" applyFont="1" applyBorder="1">
      <alignment horizontal="left" wrapText="1"/>
      <protection/>
    </xf>
    <xf numFmtId="0" fontId="2" fillId="0" borderId="0" xfId="17" applyFont="1" applyBorder="1" applyAlignment="1">
      <alignment/>
      <protection/>
    </xf>
    <xf numFmtId="0" fontId="2" fillId="0" borderId="0" xfId="17" applyFont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13" xfId="17" applyBorder="1">
      <alignment/>
      <protection/>
    </xf>
    <xf numFmtId="0" fontId="3" fillId="0" borderId="9" xfId="17" applyFont="1" applyBorder="1">
      <alignment horizontal="center" wrapText="1"/>
      <protection/>
    </xf>
    <xf numFmtId="0" fontId="4" fillId="0" borderId="14" xfId="17" applyFont="1" applyBorder="1" applyAlignment="1">
      <alignment/>
      <protection/>
    </xf>
    <xf numFmtId="0" fontId="9" fillId="0" borderId="15" xfId="17" applyFont="1" applyBorder="1" applyAlignment="1">
      <alignment horizontal="left"/>
      <protection/>
    </xf>
    <xf numFmtId="165" fontId="3" fillId="0" borderId="16" xfId="17" applyNumberFormat="1" applyBorder="1">
      <alignment horizontal="center" wrapText="1"/>
      <protection/>
    </xf>
    <xf numFmtId="165" fontId="2" fillId="0" borderId="16" xfId="17" applyNumberFormat="1" applyFont="1" applyBorder="1">
      <alignment horizontal="center"/>
      <protection/>
    </xf>
    <xf numFmtId="0" fontId="2" fillId="0" borderId="17" xfId="17" applyBorder="1">
      <alignment/>
      <protection/>
    </xf>
    <xf numFmtId="0" fontId="3" fillId="0" borderId="18" xfId="17" applyBorder="1">
      <alignment horizontal="center" wrapText="1"/>
      <protection/>
    </xf>
    <xf numFmtId="0" fontId="3" fillId="0" borderId="9" xfId="17" applyBorder="1">
      <alignment horizontal="left" wrapText="1"/>
      <protection/>
    </xf>
    <xf numFmtId="0" fontId="2" fillId="0" borderId="19" xfId="17" applyFont="1" applyBorder="1">
      <alignment horizontal="left" wrapText="1"/>
      <protection/>
    </xf>
    <xf numFmtId="165" fontId="2" fillId="0" borderId="20" xfId="17" applyNumberFormat="1" applyFont="1" applyBorder="1" applyAlignment="1">
      <alignment wrapText="1"/>
      <protection/>
    </xf>
    <xf numFmtId="0" fontId="2" fillId="0" borderId="15" xfId="17" applyFont="1" applyBorder="1">
      <alignment horizontal="center"/>
      <protection/>
    </xf>
    <xf numFmtId="0" fontId="3" fillId="0" borderId="21" xfId="17" applyBorder="1">
      <alignment/>
      <protection/>
    </xf>
    <xf numFmtId="165" fontId="3" fillId="0" borderId="22" xfId="17" applyNumberFormat="1" applyBorder="1">
      <alignment horizontal="center" wrapText="1"/>
      <protection/>
    </xf>
    <xf numFmtId="165" fontId="3" fillId="0" borderId="23" xfId="17" applyNumberFormat="1" applyBorder="1">
      <alignment horizontal="center" wrapText="1"/>
      <protection/>
    </xf>
    <xf numFmtId="165" fontId="3" fillId="0" borderId="24" xfId="17" applyNumberFormat="1" applyBorder="1">
      <alignment horizontal="center" wrapText="1"/>
      <protection/>
    </xf>
    <xf numFmtId="0" fontId="2" fillId="0" borderId="25" xfId="17" applyFont="1" applyBorder="1">
      <alignment horizontal="center"/>
      <protection/>
    </xf>
    <xf numFmtId="0" fontId="2" fillId="0" borderId="26" xfId="17" applyFont="1" applyBorder="1">
      <alignment horizontal="center"/>
      <protection/>
    </xf>
    <xf numFmtId="165" fontId="3" fillId="0" borderId="25" xfId="17" applyNumberFormat="1" applyBorder="1">
      <alignment/>
      <protection/>
    </xf>
    <xf numFmtId="0" fontId="4" fillId="0" borderId="27" xfId="17" applyFont="1" applyBorder="1">
      <alignment/>
      <protection/>
    </xf>
    <xf numFmtId="165" fontId="3" fillId="0" borderId="28" xfId="17" applyNumberFormat="1" applyBorder="1">
      <alignment horizontal="center" wrapText="1"/>
      <protection/>
    </xf>
    <xf numFmtId="165" fontId="3" fillId="0" borderId="28" xfId="17" applyNumberFormat="1" applyBorder="1">
      <alignment horizontal="center"/>
      <protection/>
    </xf>
    <xf numFmtId="0" fontId="3" fillId="0" borderId="29" xfId="17" applyBorder="1">
      <alignment horizontal="left" wrapText="1"/>
      <protection/>
    </xf>
    <xf numFmtId="0" fontId="3" fillId="0" borderId="9" xfId="17" applyFont="1" applyBorder="1">
      <alignment horizontal="left" wrapText="1"/>
      <protection/>
    </xf>
    <xf numFmtId="0" fontId="2" fillId="0" borderId="30" xfId="17" applyFont="1" applyBorder="1">
      <alignment horizontal="left" wrapText="1"/>
      <protection/>
    </xf>
    <xf numFmtId="0" fontId="4" fillId="0" borderId="31" xfId="17" applyFont="1" applyBorder="1">
      <alignment/>
      <protection/>
    </xf>
    <xf numFmtId="0" fontId="3" fillId="0" borderId="27" xfId="17" applyBorder="1">
      <alignment horizontal="center"/>
      <protection/>
    </xf>
    <xf numFmtId="0" fontId="3" fillId="0" borderId="32" xfId="17" applyBorder="1">
      <alignment/>
      <protection/>
    </xf>
    <xf numFmtId="165" fontId="3" fillId="0" borderId="33" xfId="17" applyNumberFormat="1" applyBorder="1">
      <alignment horizontal="center" wrapText="1"/>
      <protection/>
    </xf>
    <xf numFmtId="165" fontId="3" fillId="0" borderId="34" xfId="17" applyNumberFormat="1" applyBorder="1">
      <alignment horizontal="center" wrapText="1"/>
      <protection/>
    </xf>
    <xf numFmtId="165" fontId="3" fillId="0" borderId="20" xfId="17" applyNumberFormat="1" applyBorder="1">
      <alignment horizontal="center" wrapText="1"/>
      <protection/>
    </xf>
    <xf numFmtId="0" fontId="3" fillId="0" borderId="35" xfId="17" applyBorder="1">
      <alignment horizontal="center"/>
      <protection/>
    </xf>
    <xf numFmtId="0" fontId="3" fillId="0" borderId="14" xfId="17" applyBorder="1">
      <alignment horizontal="center"/>
      <protection/>
    </xf>
    <xf numFmtId="165" fontId="3" fillId="0" borderId="35" xfId="17" applyNumberFormat="1" applyBorder="1">
      <alignment/>
      <protection/>
    </xf>
    <xf numFmtId="0" fontId="2" fillId="0" borderId="36" xfId="17" applyBorder="1">
      <alignment/>
      <protection/>
    </xf>
    <xf numFmtId="1" fontId="3" fillId="0" borderId="0" xfId="17" applyBorder="1">
      <alignment horizontal="center"/>
      <protection/>
    </xf>
    <xf numFmtId="0" fontId="2" fillId="0" borderId="0" xfId="17" applyBorder="1">
      <alignment/>
      <protection/>
    </xf>
    <xf numFmtId="0" fontId="2" fillId="0" borderId="2" xfId="17" applyBorder="1">
      <alignment/>
      <protection/>
    </xf>
    <xf numFmtId="0" fontId="2" fillId="0" borderId="37" xfId="17" applyBorder="1">
      <alignment/>
      <protection/>
    </xf>
    <xf numFmtId="0" fontId="2" fillId="0" borderId="0" xfId="17" applyBorder="1">
      <alignment/>
      <protection/>
    </xf>
    <xf numFmtId="0" fontId="2" fillId="0" borderId="38" xfId="17" applyBorder="1">
      <alignment/>
      <protection/>
    </xf>
    <xf numFmtId="0" fontId="2" fillId="0" borderId="39" xfId="17" applyBorder="1">
      <alignment/>
      <protection/>
    </xf>
    <xf numFmtId="0" fontId="2" fillId="0" borderId="40" xfId="17" applyBorder="1">
      <alignment/>
      <protection/>
    </xf>
    <xf numFmtId="0" fontId="2" fillId="0" borderId="41" xfId="17" applyBorder="1">
      <alignment/>
      <protection/>
    </xf>
    <xf numFmtId="0" fontId="2" fillId="0" borderId="42" xfId="17" applyBorder="1">
      <alignment/>
      <protection/>
    </xf>
    <xf numFmtId="0" fontId="2" fillId="0" borderId="0" xfId="17" applyBorder="1">
      <alignment/>
      <protection/>
    </xf>
    <xf numFmtId="1" fontId="3" fillId="0" borderId="0" xfId="17" applyBorder="1">
      <alignment horizontal="center"/>
      <protection/>
    </xf>
    <xf numFmtId="0" fontId="2" fillId="0" borderId="27" xfId="17" applyBorder="1">
      <alignment/>
      <protection/>
    </xf>
    <xf numFmtId="0" fontId="2" fillId="0" borderId="28" xfId="17" applyBorder="1">
      <alignment/>
      <protection/>
    </xf>
    <xf numFmtId="0" fontId="2" fillId="0" borderId="32" xfId="17" applyBorder="1">
      <alignment/>
      <protection/>
    </xf>
    <xf numFmtId="0" fontId="2" fillId="0" borderId="43" xfId="17" applyBorder="1">
      <alignment/>
      <protection/>
    </xf>
    <xf numFmtId="0" fontId="3" fillId="0" borderId="44" xfId="17" applyBorder="1">
      <alignment/>
      <protection/>
    </xf>
    <xf numFmtId="0" fontId="3" fillId="0" borderId="43" xfId="17" applyBorder="1">
      <alignment/>
      <protection/>
    </xf>
    <xf numFmtId="0" fontId="2" fillId="0" borderId="0" xfId="17" applyBorder="1">
      <alignment horizontal="center"/>
      <protection/>
    </xf>
    <xf numFmtId="3" fontId="2" fillId="0" borderId="0" xfId="15" applyBorder="1">
      <alignment horizontal="center"/>
      <protection/>
    </xf>
    <xf numFmtId="3" fontId="2" fillId="0" borderId="0" xfId="17" applyBorder="1">
      <alignment horizontal="center"/>
      <protection/>
    </xf>
    <xf numFmtId="0" fontId="3" fillId="0" borderId="0" xfId="17" applyBorder="1">
      <alignment horizontal="left"/>
      <protection/>
    </xf>
    <xf numFmtId="0" fontId="3" fillId="0" borderId="0" xfId="17" applyBorder="1">
      <alignment horizontal="right"/>
      <protection/>
    </xf>
    <xf numFmtId="0" fontId="2" fillId="0" borderId="1" xfId="17" applyBorder="1">
      <alignment horizontal="center"/>
      <protection/>
    </xf>
    <xf numFmtId="0" fontId="2" fillId="0" borderId="45" xfId="17" applyBorder="1">
      <alignment/>
      <protection/>
    </xf>
    <xf numFmtId="1" fontId="3" fillId="0" borderId="0" xfId="17" applyBorder="1">
      <alignment horizontal="center"/>
      <protection/>
    </xf>
    <xf numFmtId="0" fontId="2" fillId="0" borderId="46" xfId="17" applyBorder="1">
      <alignment/>
      <protection/>
    </xf>
    <xf numFmtId="0" fontId="3" fillId="0" borderId="47" xfId="17" applyBorder="1">
      <alignment horizontal="center"/>
      <protection/>
    </xf>
    <xf numFmtId="0" fontId="3" fillId="0" borderId="48" xfId="17" applyBorder="1">
      <alignment horizontal="center"/>
      <protection/>
    </xf>
    <xf numFmtId="0" fontId="3" fillId="0" borderId="0" xfId="17" applyBorder="1">
      <alignment/>
      <protection/>
    </xf>
    <xf numFmtId="0" fontId="3" fillId="0" borderId="4" xfId="17" applyBorder="1">
      <alignment/>
      <protection/>
    </xf>
    <xf numFmtId="1" fontId="3" fillId="0" borderId="6" xfId="17" applyBorder="1">
      <alignment horizontal="center"/>
      <protection/>
    </xf>
    <xf numFmtId="0" fontId="3" fillId="0" borderId="10" xfId="17" applyBorder="1">
      <alignment horizontal="center"/>
      <protection/>
    </xf>
    <xf numFmtId="0" fontId="7" fillId="0" borderId="10" xfId="17" applyBorder="1">
      <alignment horizontal="center"/>
      <protection/>
    </xf>
    <xf numFmtId="1" fontId="3" fillId="0" borderId="49" xfId="17" applyBorder="1">
      <alignment horizontal="center"/>
      <protection/>
    </xf>
    <xf numFmtId="0" fontId="3" fillId="0" borderId="50" xfId="17" applyBorder="1">
      <alignment horizontal="center"/>
      <protection/>
    </xf>
    <xf numFmtId="0" fontId="3" fillId="0" borderId="30" xfId="17" applyBorder="1">
      <alignment horizontal="center"/>
      <protection/>
    </xf>
    <xf numFmtId="0" fontId="3" fillId="0" borderId="51" xfId="17" applyBorder="1">
      <alignment horizontal="center"/>
      <protection/>
    </xf>
    <xf numFmtId="0" fontId="8" fillId="0" borderId="52" xfId="17" applyBorder="1">
      <alignment horizontal="center"/>
      <protection/>
    </xf>
    <xf numFmtId="0" fontId="3" fillId="0" borderId="52" xfId="17" applyBorder="1">
      <alignment horizontal="center"/>
      <protection/>
    </xf>
    <xf numFmtId="0" fontId="3" fillId="0" borderId="53" xfId="17" applyBorder="1">
      <alignment horizontal="center"/>
      <protection/>
    </xf>
    <xf numFmtId="0" fontId="2" fillId="0" borderId="47" xfId="17" applyBorder="1">
      <alignment/>
      <protection/>
    </xf>
    <xf numFmtId="0" fontId="3" fillId="0" borderId="47" xfId="17" applyBorder="1">
      <alignment/>
      <protection/>
    </xf>
    <xf numFmtId="0" fontId="2" fillId="0" borderId="54" xfId="17" applyBorder="1">
      <alignment wrapText="1"/>
      <protection/>
    </xf>
    <xf numFmtId="0" fontId="6" fillId="0" borderId="6" xfId="17" applyBorder="1">
      <alignment horizontal="center" wrapText="1"/>
      <protection/>
    </xf>
    <xf numFmtId="3" fontId="3" fillId="0" borderId="0" xfId="17" applyBorder="1">
      <alignment horizontal="center"/>
      <protection/>
    </xf>
    <xf numFmtId="3" fontId="3" fillId="0" borderId="0" xfId="15" applyBorder="1">
      <alignment horizontal="center"/>
      <protection/>
    </xf>
    <xf numFmtId="3" fontId="2" fillId="0" borderId="0" xfId="15" applyBorder="1">
      <alignment horizontal="center"/>
      <protection/>
    </xf>
    <xf numFmtId="3" fontId="3" fillId="0" borderId="0" xfId="17" applyBorder="1">
      <alignment horizontal="center"/>
      <protection/>
    </xf>
    <xf numFmtId="3" fontId="3" fillId="0" borderId="0" xfId="15" applyBorder="1">
      <alignment horizontal="center"/>
      <protection/>
    </xf>
    <xf numFmtId="3" fontId="2" fillId="0" borderId="0" xfId="15" applyBorder="1">
      <alignment horizontal="center"/>
      <protection/>
    </xf>
    <xf numFmtId="0" fontId="3" fillId="0" borderId="0" xfId="17" applyBorder="1">
      <alignment horizontal="right"/>
      <protection/>
    </xf>
    <xf numFmtId="3" fontId="3" fillId="0" borderId="0" xfId="15" applyBorder="1">
      <alignment horizontal="center"/>
      <protection/>
    </xf>
    <xf numFmtId="3" fontId="2" fillId="0" borderId="0" xfId="15" applyBorder="1">
      <alignment horizontal="center"/>
      <protection/>
    </xf>
    <xf numFmtId="0" fontId="2" fillId="0" borderId="4" xfId="17" applyBorder="1">
      <alignment/>
      <protection/>
    </xf>
    <xf numFmtId="3" fontId="2" fillId="0" borderId="0" xfId="15" applyBorder="1">
      <alignment/>
      <protection/>
    </xf>
    <xf numFmtId="0" fontId="3" fillId="0" borderId="0" xfId="17" applyBorder="1">
      <alignment horizontal="center"/>
      <protection/>
    </xf>
    <xf numFmtId="0" fontId="3" fillId="0" borderId="55" xfId="17" applyBorder="1">
      <alignment/>
      <protection/>
    </xf>
    <xf numFmtId="0" fontId="3" fillId="0" borderId="56" xfId="17" applyBorder="1">
      <alignment horizontal="center"/>
      <protection/>
    </xf>
    <xf numFmtId="0" fontId="3" fillId="0" borderId="57" xfId="17" applyBorder="1">
      <alignment horizontal="center"/>
      <protection/>
    </xf>
    <xf numFmtId="0" fontId="3" fillId="0" borderId="58" xfId="17" applyBorder="1">
      <alignment horizontal="center"/>
      <protection/>
    </xf>
    <xf numFmtId="0" fontId="3" fillId="0" borderId="59" xfId="17" applyBorder="1">
      <alignment horizontal="center"/>
      <protection/>
    </xf>
    <xf numFmtId="0" fontId="3" fillId="0" borderId="60" xfId="17" applyFont="1" applyBorder="1" applyAlignment="1">
      <alignment horizontal="left"/>
      <protection/>
    </xf>
    <xf numFmtId="0" fontId="3" fillId="0" borderId="61" xfId="17" applyFont="1" applyBorder="1" quotePrefix="1">
      <alignment horizontal="center"/>
      <protection/>
    </xf>
    <xf numFmtId="0" fontId="3" fillId="0" borderId="62" xfId="17" applyFont="1" applyBorder="1" applyAlignment="1">
      <alignment horizontal="left"/>
      <protection/>
    </xf>
    <xf numFmtId="0" fontId="3" fillId="0" borderId="63" xfId="17" applyFont="1" applyBorder="1" quotePrefix="1">
      <alignment horizontal="center"/>
      <protection/>
    </xf>
    <xf numFmtId="0" fontId="3" fillId="0" borderId="17" xfId="17" applyBorder="1">
      <alignment horizontal="center"/>
      <protection/>
    </xf>
    <xf numFmtId="0" fontId="3" fillId="0" borderId="64" xfId="17" applyBorder="1">
      <alignment/>
      <protection/>
    </xf>
    <xf numFmtId="0" fontId="3" fillId="0" borderId="65" xfId="17" applyBorder="1">
      <alignment horizontal="center"/>
      <protection/>
    </xf>
    <xf numFmtId="0" fontId="3" fillId="0" borderId="66" xfId="17" applyBorder="1">
      <alignment horizontal="center"/>
      <protection/>
    </xf>
    <xf numFmtId="0" fontId="3" fillId="0" borderId="19" xfId="17" applyBorder="1">
      <alignment horizontal="center"/>
      <protection/>
    </xf>
    <xf numFmtId="0" fontId="3" fillId="0" borderId="49" xfId="17" applyBorder="1">
      <alignment horizontal="center"/>
      <protection/>
    </xf>
    <xf numFmtId="0" fontId="3" fillId="0" borderId="67" xfId="17" applyBorder="1">
      <alignment horizontal="center"/>
      <protection/>
    </xf>
    <xf numFmtId="0" fontId="2" fillId="0" borderId="0" xfId="17" applyBorder="1">
      <alignment/>
      <protection/>
    </xf>
    <xf numFmtId="0" fontId="2" fillId="0" borderId="68" xfId="17" applyBorder="1">
      <alignment wrapText="1"/>
      <protection/>
    </xf>
    <xf numFmtId="0" fontId="2" fillId="0" borderId="0" xfId="17" applyBorder="1">
      <alignment/>
      <protection/>
    </xf>
    <xf numFmtId="0" fontId="2" fillId="0" borderId="40" xfId="17" applyBorder="1">
      <alignment wrapText="1"/>
      <protection/>
    </xf>
    <xf numFmtId="0" fontId="3" fillId="0" borderId="69" xfId="17" applyBorder="1">
      <alignment horizontal="center"/>
      <protection/>
    </xf>
    <xf numFmtId="0" fontId="3" fillId="0" borderId="18" xfId="17" applyFont="1" applyBorder="1" quotePrefix="1">
      <alignment horizontal="center"/>
      <protection/>
    </xf>
    <xf numFmtId="0" fontId="3" fillId="0" borderId="10" xfId="17" applyFont="1" applyBorder="1" quotePrefix="1">
      <alignment horizontal="center"/>
      <protection/>
    </xf>
    <xf numFmtId="165" fontId="3" fillId="0" borderId="0" xfId="17" applyNumberFormat="1" applyBorder="1">
      <alignment horizontal="center" wrapText="1"/>
      <protection/>
    </xf>
    <xf numFmtId="0" fontId="3" fillId="0" borderId="0" xfId="17" applyBorder="1">
      <alignment/>
      <protection/>
    </xf>
    <xf numFmtId="0" fontId="3" fillId="0" borderId="0" xfId="17" applyFont="1" applyBorder="1">
      <alignment horizontal="left" wrapText="1"/>
      <protection/>
    </xf>
    <xf numFmtId="0" fontId="2" fillId="0" borderId="0" xfId="17" applyFont="1" applyBorder="1">
      <alignment/>
      <protection/>
    </xf>
    <xf numFmtId="165" fontId="2" fillId="0" borderId="70" xfId="17" applyNumberFormat="1" applyFont="1" applyBorder="1">
      <alignment horizontal="center" wrapText="1"/>
      <protection/>
    </xf>
    <xf numFmtId="0" fontId="3" fillId="0" borderId="29" xfId="17" applyBorder="1" applyAlignment="1">
      <alignment horizontal="right"/>
      <protection/>
    </xf>
    <xf numFmtId="165" fontId="3" fillId="0" borderId="11" xfId="17" applyNumberFormat="1" applyBorder="1" applyAlignment="1">
      <alignment horizontal="right"/>
      <protection/>
    </xf>
    <xf numFmtId="165" fontId="3" fillId="0" borderId="11" xfId="17" applyNumberFormat="1" applyBorder="1" applyAlignment="1">
      <alignment horizontal="right" wrapText="1"/>
      <protection/>
    </xf>
    <xf numFmtId="0" fontId="3" fillId="0" borderId="53" xfId="17" applyBorder="1" applyAlignment="1">
      <alignment horizontal="right"/>
      <protection/>
    </xf>
    <xf numFmtId="165" fontId="3" fillId="0" borderId="71" xfId="17" applyNumberFormat="1" applyBorder="1" applyAlignment="1">
      <alignment horizontal="right" wrapText="1"/>
      <protection/>
    </xf>
    <xf numFmtId="165" fontId="3" fillId="0" borderId="53" xfId="17" applyNumberFormat="1" applyBorder="1" applyAlignment="1">
      <alignment horizontal="right" wrapText="1"/>
      <protection/>
    </xf>
    <xf numFmtId="165" fontId="3" fillId="0" borderId="72" xfId="17" applyNumberFormat="1" applyBorder="1" applyAlignment="1">
      <alignment horizontal="right"/>
      <protection/>
    </xf>
    <xf numFmtId="0" fontId="3" fillId="0" borderId="9" xfId="17" applyBorder="1" applyAlignment="1">
      <alignment horizontal="right"/>
      <protection/>
    </xf>
    <xf numFmtId="165" fontId="3" fillId="0" borderId="6" xfId="17" applyNumberFormat="1" applyBorder="1" applyAlignment="1">
      <alignment horizontal="right"/>
      <protection/>
    </xf>
    <xf numFmtId="165" fontId="3" fillId="0" borderId="6" xfId="17" applyNumberFormat="1" applyBorder="1" applyAlignment="1">
      <alignment horizontal="right" wrapText="1"/>
      <protection/>
    </xf>
    <xf numFmtId="0" fontId="3" fillId="0" borderId="10" xfId="17" applyBorder="1" applyAlignment="1">
      <alignment horizontal="right"/>
      <protection/>
    </xf>
    <xf numFmtId="165" fontId="3" fillId="0" borderId="7" xfId="17" applyNumberFormat="1" applyBorder="1" applyAlignment="1">
      <alignment horizontal="right" wrapText="1"/>
      <protection/>
    </xf>
    <xf numFmtId="165" fontId="3" fillId="0" borderId="10" xfId="17" applyNumberFormat="1" applyBorder="1" applyAlignment="1">
      <alignment horizontal="right" wrapText="1"/>
      <protection/>
    </xf>
    <xf numFmtId="165" fontId="3" fillId="0" borderId="8" xfId="17" applyNumberFormat="1" applyBorder="1" applyAlignment="1">
      <alignment horizontal="right"/>
      <protection/>
    </xf>
    <xf numFmtId="0" fontId="2" fillId="0" borderId="19" xfId="17" applyFont="1" applyBorder="1" applyAlignment="1">
      <alignment horizontal="right"/>
      <protection/>
    </xf>
    <xf numFmtId="165" fontId="2" fillId="0" borderId="49" xfId="17" applyNumberFormat="1" applyFont="1" applyBorder="1" applyAlignment="1">
      <alignment horizontal="right"/>
      <protection/>
    </xf>
    <xf numFmtId="165" fontId="2" fillId="0" borderId="49" xfId="17" applyNumberFormat="1" applyFont="1" applyBorder="1" applyAlignment="1">
      <alignment horizontal="right" wrapText="1"/>
      <protection/>
    </xf>
    <xf numFmtId="165" fontId="2" fillId="0" borderId="50" xfId="17" applyNumberFormat="1" applyFont="1" applyBorder="1" applyAlignment="1">
      <alignment horizontal="right" wrapText="1"/>
      <protection/>
    </xf>
    <xf numFmtId="0" fontId="3" fillId="0" borderId="0" xfId="17" applyBorder="1" applyAlignment="1">
      <alignment horizontal="right"/>
      <protection/>
    </xf>
    <xf numFmtId="165" fontId="3" fillId="0" borderId="0" xfId="17" applyNumberFormat="1" applyBorder="1" applyAlignment="1">
      <alignment horizontal="right"/>
      <protection/>
    </xf>
    <xf numFmtId="165" fontId="3" fillId="0" borderId="0" xfId="17" applyNumberFormat="1" applyBorder="1" applyAlignment="1">
      <alignment horizontal="right" wrapText="1"/>
      <protection/>
    </xf>
    <xf numFmtId="0" fontId="2" fillId="0" borderId="31" xfId="17" applyFont="1" applyBorder="1" applyAlignment="1">
      <alignment horizontal="right"/>
      <protection/>
    </xf>
    <xf numFmtId="165" fontId="2" fillId="0" borderId="73" xfId="17" applyNumberFormat="1" applyFont="1" applyBorder="1" applyAlignment="1">
      <alignment horizontal="right"/>
      <protection/>
    </xf>
    <xf numFmtId="165" fontId="2" fillId="0" borderId="73" xfId="17" applyNumberFormat="1" applyFont="1" applyBorder="1" applyAlignment="1">
      <alignment horizontal="right" wrapText="1"/>
      <protection/>
    </xf>
    <xf numFmtId="165" fontId="2" fillId="0" borderId="74" xfId="17" applyNumberFormat="1" applyFont="1" applyBorder="1" applyAlignment="1">
      <alignment horizontal="right" wrapText="1"/>
      <protection/>
    </xf>
    <xf numFmtId="165" fontId="2" fillId="0" borderId="31" xfId="17" applyNumberFormat="1" applyFont="1" applyBorder="1" applyAlignment="1">
      <alignment horizontal="right" wrapText="1"/>
      <protection/>
    </xf>
    <xf numFmtId="0" fontId="3" fillId="0" borderId="0" xfId="17" applyBorder="1" applyAlignment="1">
      <alignment horizontal="right"/>
      <protection/>
    </xf>
    <xf numFmtId="165" fontId="3" fillId="0" borderId="0" xfId="17" applyNumberFormat="1" applyBorder="1" applyAlignment="1">
      <alignment horizontal="right"/>
      <protection/>
    </xf>
    <xf numFmtId="165" fontId="3" fillId="0" borderId="0" xfId="17" applyNumberFormat="1" applyBorder="1" applyAlignment="1">
      <alignment horizontal="right" wrapText="1"/>
      <protection/>
    </xf>
    <xf numFmtId="0" fontId="3" fillId="0" borderId="9" xfId="17" applyBorder="1" applyAlignment="1">
      <alignment horizontal="right" wrapText="1"/>
      <protection/>
    </xf>
    <xf numFmtId="165" fontId="3" fillId="0" borderId="9" xfId="17" applyNumberFormat="1" applyBorder="1" applyAlignment="1">
      <alignment horizontal="right"/>
      <protection/>
    </xf>
    <xf numFmtId="0" fontId="2" fillId="0" borderId="0" xfId="17" applyFont="1" applyBorder="1" applyAlignment="1">
      <alignment horizontal="right"/>
      <protection/>
    </xf>
    <xf numFmtId="165" fontId="2" fillId="0" borderId="0" xfId="17" applyNumberFormat="1" applyFont="1" applyBorder="1" applyAlignment="1">
      <alignment horizontal="right"/>
      <protection/>
    </xf>
    <xf numFmtId="0" fontId="2" fillId="0" borderId="14" xfId="17" applyFont="1" applyBorder="1" applyAlignment="1">
      <alignment horizontal="right"/>
      <protection/>
    </xf>
    <xf numFmtId="165" fontId="2" fillId="0" borderId="33" xfId="17" applyNumberFormat="1" applyFont="1" applyBorder="1" applyAlignment="1">
      <alignment horizontal="right"/>
      <protection/>
    </xf>
    <xf numFmtId="165" fontId="2" fillId="0" borderId="33" xfId="17" applyNumberFormat="1" applyFont="1" applyBorder="1" applyAlignment="1">
      <alignment horizontal="right" wrapText="1"/>
      <protection/>
    </xf>
    <xf numFmtId="165" fontId="2" fillId="0" borderId="34" xfId="17" applyNumberFormat="1" applyFont="1" applyBorder="1" applyAlignment="1">
      <alignment horizontal="right" wrapText="1"/>
      <protection/>
    </xf>
    <xf numFmtId="165" fontId="2" fillId="0" borderId="20" xfId="17" applyNumberFormat="1" applyFont="1" applyBorder="1" applyAlignment="1">
      <alignment horizontal="right" wrapText="1"/>
      <protection/>
    </xf>
    <xf numFmtId="0" fontId="2" fillId="0" borderId="35" xfId="17" applyFont="1" applyBorder="1" applyAlignment="1">
      <alignment horizontal="right"/>
      <protection/>
    </xf>
    <xf numFmtId="165" fontId="2" fillId="0" borderId="35" xfId="17" applyNumberFormat="1" applyFont="1" applyBorder="1" applyAlignment="1">
      <alignment horizontal="right"/>
      <protection/>
    </xf>
    <xf numFmtId="165" fontId="2" fillId="0" borderId="34" xfId="17" applyNumberFormat="1" applyFont="1" applyBorder="1" applyAlignment="1">
      <alignment horizontal="right"/>
      <protection/>
    </xf>
    <xf numFmtId="165" fontId="6" fillId="0" borderId="6" xfId="15" applyNumberFormat="1" applyBorder="1" applyAlignment="1">
      <alignment horizontal="right"/>
      <protection/>
    </xf>
    <xf numFmtId="165" fontId="6" fillId="0" borderId="49" xfId="15" applyNumberFormat="1" applyBorder="1" applyAlignment="1">
      <alignment horizontal="right"/>
      <protection/>
    </xf>
    <xf numFmtId="0" fontId="2" fillId="0" borderId="0" xfId="17" applyBorder="1">
      <alignment wrapText="1"/>
      <protection/>
    </xf>
    <xf numFmtId="0" fontId="3" fillId="0" borderId="0" xfId="17" applyBorder="1">
      <alignment horizontal="center"/>
      <protection/>
    </xf>
    <xf numFmtId="1" fontId="3" fillId="0" borderId="0" xfId="17" applyBorder="1">
      <alignment horizontal="center"/>
      <protection/>
    </xf>
    <xf numFmtId="0" fontId="2" fillId="0" borderId="0" xfId="17" applyBorder="1">
      <alignment horizontal="center"/>
      <protection/>
    </xf>
    <xf numFmtId="0" fontId="0" fillId="0" borderId="0" xfId="0" applyBorder="1" applyAlignment="1">
      <alignment/>
    </xf>
    <xf numFmtId="0" fontId="4" fillId="2" borderId="0" xfId="17" applyFont="1" applyFill="1">
      <alignment/>
      <protection/>
    </xf>
    <xf numFmtId="0" fontId="4" fillId="2" borderId="0" xfId="17" applyFill="1">
      <alignment/>
      <protection/>
    </xf>
    <xf numFmtId="0" fontId="3" fillId="2" borderId="0" xfId="17" applyFill="1">
      <alignment/>
      <protection/>
    </xf>
    <xf numFmtId="0" fontId="2" fillId="2" borderId="0" xfId="17" applyFill="1">
      <alignment/>
      <protection/>
    </xf>
    <xf numFmtId="3" fontId="2" fillId="2" borderId="0" xfId="15" applyFill="1">
      <alignment/>
      <protection/>
    </xf>
    <xf numFmtId="0" fontId="3" fillId="2" borderId="0" xfId="17" applyFill="1">
      <alignment horizontal="center"/>
      <protection/>
    </xf>
    <xf numFmtId="0" fontId="2" fillId="2" borderId="0" xfId="17" applyFill="1">
      <alignment horizontal="left"/>
      <protection/>
    </xf>
    <xf numFmtId="0" fontId="3" fillId="2" borderId="0" xfId="17" applyFill="1" applyBorder="1">
      <alignment horizontal="center"/>
      <protection/>
    </xf>
    <xf numFmtId="0" fontId="4" fillId="2" borderId="27" xfId="17" applyFont="1" applyFill="1" applyBorder="1">
      <alignment/>
      <protection/>
    </xf>
    <xf numFmtId="0" fontId="2" fillId="2" borderId="32" xfId="17" applyFont="1" applyFill="1" applyBorder="1">
      <alignment/>
      <protection/>
    </xf>
    <xf numFmtId="165" fontId="2" fillId="2" borderId="27" xfId="17" applyNumberFormat="1" applyFont="1" applyFill="1" applyBorder="1" applyAlignment="1">
      <alignment horizontal="right"/>
      <protection/>
    </xf>
    <xf numFmtId="165" fontId="2" fillId="2" borderId="28" xfId="15" applyNumberFormat="1" applyFont="1" applyFill="1" applyBorder="1" applyAlignment="1">
      <alignment horizontal="right"/>
      <protection/>
    </xf>
    <xf numFmtId="165" fontId="2" fillId="2" borderId="32" xfId="15" applyNumberFormat="1" applyFont="1" applyFill="1" applyBorder="1" applyAlignment="1">
      <alignment horizontal="right"/>
      <protection/>
    </xf>
    <xf numFmtId="3" fontId="2" fillId="2" borderId="0" xfId="15" applyFont="1" applyFill="1" applyBorder="1" applyAlignment="1">
      <alignment horizontal="right"/>
      <protection/>
    </xf>
    <xf numFmtId="4" fontId="2" fillId="2" borderId="0" xfId="15" applyFont="1" applyFill="1" applyBorder="1" applyAlignment="1">
      <alignment horizontal="right"/>
      <protection/>
    </xf>
    <xf numFmtId="4" fontId="2" fillId="2" borderId="0" xfId="15" applyFont="1" applyFill="1" applyBorder="1">
      <alignment horizontal="center"/>
      <protection/>
    </xf>
    <xf numFmtId="0" fontId="2" fillId="2" borderId="0" xfId="17" applyFont="1" applyFill="1" applyBorder="1">
      <alignment/>
      <protection/>
    </xf>
    <xf numFmtId="0" fontId="0" fillId="2" borderId="15" xfId="17" applyFont="1" applyFill="1" applyBorder="1">
      <alignment/>
      <protection/>
    </xf>
    <xf numFmtId="0" fontId="2" fillId="2" borderId="21" xfId="17" applyFill="1" applyBorder="1">
      <alignment/>
      <protection/>
    </xf>
    <xf numFmtId="0" fontId="3" fillId="2" borderId="15" xfId="17" applyFill="1" applyBorder="1" applyAlignment="1">
      <alignment horizontal="right"/>
      <protection/>
    </xf>
    <xf numFmtId="0" fontId="3" fillId="2" borderId="16" xfId="17" applyFill="1" applyBorder="1" applyAlignment="1">
      <alignment horizontal="right"/>
      <protection/>
    </xf>
    <xf numFmtId="0" fontId="3" fillId="2" borderId="21" xfId="17" applyFill="1" applyBorder="1" applyAlignment="1">
      <alignment horizontal="right"/>
      <protection/>
    </xf>
    <xf numFmtId="165" fontId="3" fillId="2" borderId="21" xfId="17" applyNumberFormat="1" applyFill="1" applyBorder="1" applyAlignment="1">
      <alignment horizontal="right" wrapText="1"/>
      <protection/>
    </xf>
    <xf numFmtId="0" fontId="3" fillId="2" borderId="0" xfId="17" applyFill="1" applyBorder="1" applyAlignment="1">
      <alignment horizontal="right"/>
      <protection/>
    </xf>
    <xf numFmtId="0" fontId="4" fillId="2" borderId="0" xfId="17" applyFont="1" applyFill="1" applyBorder="1">
      <alignment/>
      <protection/>
    </xf>
    <xf numFmtId="165" fontId="2" fillId="2" borderId="0" xfId="17" applyNumberFormat="1" applyFont="1" applyFill="1" applyBorder="1" applyAlignment="1">
      <alignment horizontal="right"/>
      <protection/>
    </xf>
    <xf numFmtId="165" fontId="2" fillId="2" borderId="0" xfId="15" applyNumberFormat="1" applyFont="1" applyFill="1" applyBorder="1" applyAlignment="1">
      <alignment horizontal="right"/>
      <protection/>
    </xf>
    <xf numFmtId="9" fontId="3" fillId="0" borderId="0" xfId="15" applyBorder="1">
      <alignment/>
      <protection/>
    </xf>
    <xf numFmtId="3" fontId="3" fillId="0" borderId="0" xfId="15" applyBorder="1" applyAlignment="1">
      <alignment/>
      <protection/>
    </xf>
    <xf numFmtId="0" fontId="3" fillId="0" borderId="7" xfId="17" applyBorder="1">
      <alignment/>
      <protection/>
    </xf>
    <xf numFmtId="0" fontId="2" fillId="0" borderId="75" xfId="17" applyBorder="1">
      <alignment/>
      <protection/>
    </xf>
    <xf numFmtId="0" fontId="3" fillId="0" borderId="75" xfId="17" applyBorder="1">
      <alignment/>
      <protection/>
    </xf>
    <xf numFmtId="0" fontId="3" fillId="0" borderId="75" xfId="17" applyBorder="1">
      <alignment horizontal="center"/>
      <protection/>
    </xf>
    <xf numFmtId="0" fontId="0" fillId="0" borderId="75" xfId="0" applyBorder="1" applyAlignment="1">
      <alignment/>
    </xf>
    <xf numFmtId="9" fontId="3" fillId="0" borderId="75" xfId="15" applyBorder="1">
      <alignment/>
      <protection/>
    </xf>
    <xf numFmtId="165" fontId="3" fillId="0" borderId="75" xfId="17" applyNumberFormat="1" applyBorder="1" applyAlignment="1">
      <alignment horizontal="right" wrapText="1"/>
      <protection/>
    </xf>
    <xf numFmtId="3" fontId="3" fillId="0" borderId="75" xfId="15" applyBorder="1" applyAlignment="1">
      <alignment/>
      <protection/>
    </xf>
    <xf numFmtId="9" fontId="3" fillId="0" borderId="75" xfId="17" applyBorder="1">
      <alignment/>
      <protection/>
    </xf>
    <xf numFmtId="0" fontId="3" fillId="0" borderId="75" xfId="17" applyBorder="1" applyAlignment="1">
      <alignment horizontal="right"/>
      <protection/>
    </xf>
    <xf numFmtId="0" fontId="3" fillId="0" borderId="75" xfId="17" applyFont="1" applyBorder="1" applyAlignment="1">
      <alignment horizontal="left"/>
      <protection/>
    </xf>
    <xf numFmtId="0" fontId="2" fillId="0" borderId="76" xfId="17" applyBorder="1">
      <alignment/>
      <protection/>
    </xf>
    <xf numFmtId="0" fontId="0" fillId="0" borderId="76" xfId="0" applyBorder="1" applyAlignment="1">
      <alignment/>
    </xf>
    <xf numFmtId="0" fontId="3" fillId="0" borderId="76" xfId="17" applyBorder="1">
      <alignment/>
      <protection/>
    </xf>
    <xf numFmtId="0" fontId="3" fillId="0" borderId="76" xfId="17" applyBorder="1">
      <alignment horizontal="center"/>
      <protection/>
    </xf>
    <xf numFmtId="0" fontId="3" fillId="0" borderId="77" xfId="17" applyBorder="1">
      <alignment/>
      <protection/>
    </xf>
    <xf numFmtId="0" fontId="3" fillId="0" borderId="78" xfId="17" applyBorder="1">
      <alignment/>
      <protection/>
    </xf>
    <xf numFmtId="0" fontId="3" fillId="0" borderId="79" xfId="17" applyBorder="1">
      <alignment/>
      <protection/>
    </xf>
    <xf numFmtId="0" fontId="3" fillId="0" borderId="78" xfId="17" applyFont="1" applyBorder="1">
      <alignment/>
      <protection/>
    </xf>
    <xf numFmtId="0" fontId="3" fillId="0" borderId="80" xfId="17" applyBorder="1">
      <alignment/>
      <protection/>
    </xf>
    <xf numFmtId="0" fontId="2" fillId="0" borderId="81" xfId="17" applyBorder="1">
      <alignment/>
      <protection/>
    </xf>
    <xf numFmtId="0" fontId="0" fillId="0" borderId="81" xfId="0" applyBorder="1" applyAlignment="1">
      <alignment/>
    </xf>
    <xf numFmtId="9" fontId="3" fillId="0" borderId="81" xfId="15" applyBorder="1">
      <alignment/>
      <protection/>
    </xf>
    <xf numFmtId="0" fontId="3" fillId="0" borderId="81" xfId="17" applyFont="1" applyBorder="1" applyAlignment="1">
      <alignment horizontal="left"/>
      <protection/>
    </xf>
    <xf numFmtId="0" fontId="3" fillId="0" borderId="81" xfId="17" applyBorder="1">
      <alignment horizontal="center"/>
      <protection/>
    </xf>
    <xf numFmtId="0" fontId="3" fillId="0" borderId="81" xfId="17" applyBorder="1">
      <alignment/>
      <protection/>
    </xf>
    <xf numFmtId="0" fontId="3" fillId="0" borderId="82" xfId="17" applyBorder="1">
      <alignment/>
      <protection/>
    </xf>
    <xf numFmtId="0" fontId="3" fillId="0" borderId="83" xfId="17" applyFont="1" applyBorder="1">
      <alignment/>
      <protection/>
    </xf>
    <xf numFmtId="0" fontId="3" fillId="0" borderId="0" xfId="17" applyFill="1">
      <alignment/>
      <protection/>
    </xf>
    <xf numFmtId="0" fontId="0" fillId="0" borderId="0" xfId="0" applyFill="1" applyAlignment="1">
      <alignment/>
    </xf>
    <xf numFmtId="0" fontId="3" fillId="0" borderId="0" xfId="17" applyFill="1">
      <alignment horizontal="center"/>
      <protection/>
    </xf>
    <xf numFmtId="3" fontId="2" fillId="0" borderId="0" xfId="15" applyFont="1" applyFill="1" applyBorder="1" applyAlignment="1">
      <alignment horizontal="right"/>
      <protection/>
    </xf>
    <xf numFmtId="4" fontId="2" fillId="0" borderId="0" xfId="15" applyFont="1" applyFill="1" applyBorder="1" applyAlignment="1">
      <alignment horizontal="right"/>
      <protection/>
    </xf>
    <xf numFmtId="4" fontId="2" fillId="0" borderId="0" xfId="15" applyFont="1" applyFill="1" applyBorder="1">
      <alignment horizontal="center"/>
      <protection/>
    </xf>
    <xf numFmtId="3" fontId="2" fillId="0" borderId="0" xfId="17" applyFont="1" applyFill="1" applyBorder="1">
      <alignment/>
      <protection/>
    </xf>
    <xf numFmtId="0" fontId="2" fillId="0" borderId="0" xfId="17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3" fillId="0" borderId="0" xfId="17" applyFill="1" applyBorder="1">
      <alignment horizontal="center"/>
      <protection/>
    </xf>
    <xf numFmtId="0" fontId="3" fillId="0" borderId="0" xfId="17" applyFill="1" applyBorder="1">
      <alignment/>
      <protection/>
    </xf>
    <xf numFmtId="0" fontId="0" fillId="0" borderId="0" xfId="0" applyFill="1" applyBorder="1" applyAlignment="1">
      <alignment/>
    </xf>
    <xf numFmtId="0" fontId="4" fillId="0" borderId="0" xfId="17" applyFont="1" applyFill="1" applyBorder="1">
      <alignment/>
      <protection/>
    </xf>
    <xf numFmtId="165" fontId="2" fillId="0" borderId="0" xfId="17" applyNumberFormat="1" applyFont="1" applyFill="1" applyBorder="1" applyAlignment="1">
      <alignment horizontal="right"/>
      <protection/>
    </xf>
    <xf numFmtId="165" fontId="2" fillId="0" borderId="0" xfId="15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15" xfId="17" applyFont="1" applyBorder="1">
      <alignment horizontal="left" wrapText="1"/>
      <protection/>
    </xf>
    <xf numFmtId="165" fontId="2" fillId="0" borderId="16" xfId="17" applyNumberFormat="1" applyFont="1" applyBorder="1" applyAlignment="1">
      <alignment horizontal="right" wrapText="1"/>
      <protection/>
    </xf>
    <xf numFmtId="0" fontId="2" fillId="0" borderId="16" xfId="17" applyFont="1" applyBorder="1" applyAlignment="1">
      <alignment horizontal="right"/>
      <protection/>
    </xf>
    <xf numFmtId="165" fontId="2" fillId="0" borderId="16" xfId="17" applyNumberFormat="1" applyFont="1" applyBorder="1" applyAlignment="1">
      <alignment horizontal="right"/>
      <protection/>
    </xf>
    <xf numFmtId="165" fontId="2" fillId="0" borderId="21" xfId="17" applyNumberFormat="1" applyFont="1" applyBorder="1" applyAlignment="1">
      <alignment horizontal="right"/>
      <protection/>
    </xf>
    <xf numFmtId="0" fontId="2" fillId="0" borderId="30" xfId="17" applyFont="1" applyBorder="1" applyAlignment="1">
      <alignment horizontal="right"/>
      <protection/>
    </xf>
    <xf numFmtId="165" fontId="2" fillId="0" borderId="51" xfId="17" applyNumberFormat="1" applyFont="1" applyBorder="1" applyAlignment="1">
      <alignment horizontal="right" wrapText="1"/>
      <protection/>
    </xf>
    <xf numFmtId="165" fontId="2" fillId="0" borderId="52" xfId="17" applyNumberFormat="1" applyFont="1" applyBorder="1" applyAlignment="1">
      <alignment horizontal="right" wrapText="1"/>
      <protection/>
    </xf>
    <xf numFmtId="165" fontId="3" fillId="0" borderId="64" xfId="17" applyNumberFormat="1" applyFont="1" applyBorder="1" applyAlignment="1">
      <alignment horizontal="right" wrapText="1"/>
      <protection/>
    </xf>
    <xf numFmtId="165" fontId="2" fillId="0" borderId="30" xfId="17" applyNumberFormat="1" applyFont="1" applyBorder="1" applyAlignment="1">
      <alignment horizontal="right"/>
      <protection/>
    </xf>
    <xf numFmtId="165" fontId="2" fillId="0" borderId="52" xfId="17" applyNumberFormat="1" applyFont="1" applyBorder="1" applyAlignment="1">
      <alignment horizontal="right"/>
      <protection/>
    </xf>
    <xf numFmtId="0" fontId="2" fillId="0" borderId="17" xfId="17" applyFont="1" applyBorder="1" applyAlignment="1">
      <alignment horizontal="left" wrapText="1"/>
      <protection/>
    </xf>
    <xf numFmtId="165" fontId="2" fillId="0" borderId="51" xfId="17" applyNumberFormat="1" applyFont="1" applyBorder="1" applyAlignment="1">
      <alignment horizontal="right"/>
      <protection/>
    </xf>
    <xf numFmtId="0" fontId="2" fillId="0" borderId="52" xfId="0" applyFont="1" applyBorder="1" applyAlignment="1">
      <alignment horizontal="right"/>
    </xf>
    <xf numFmtId="165" fontId="2" fillId="0" borderId="12" xfId="17" applyNumberFormat="1" applyFont="1" applyBorder="1" applyAlignment="1">
      <alignment horizontal="right" wrapText="1"/>
      <protection/>
    </xf>
    <xf numFmtId="165" fontId="2" fillId="0" borderId="84" xfId="17" applyNumberFormat="1" applyFont="1" applyBorder="1" applyAlignment="1">
      <alignment horizontal="right"/>
      <protection/>
    </xf>
    <xf numFmtId="9" fontId="10" fillId="0" borderId="16" xfId="18" applyFont="1" applyBorder="1" applyAlignment="1">
      <alignment horizontal="left"/>
      <protection/>
    </xf>
    <xf numFmtId="0" fontId="2" fillId="0" borderId="83" xfId="17" applyFont="1" applyBorder="1" applyAlignment="1">
      <alignment horizontal="left"/>
      <protection/>
    </xf>
    <xf numFmtId="165" fontId="2" fillId="0" borderId="76" xfId="17" applyNumberFormat="1" applyFont="1" applyBorder="1">
      <alignment horizontal="center" wrapText="1"/>
      <protection/>
    </xf>
    <xf numFmtId="0" fontId="2" fillId="0" borderId="76" xfId="17" applyFont="1" applyBorder="1" applyAlignment="1">
      <alignment horizontal="right"/>
      <protection/>
    </xf>
    <xf numFmtId="165" fontId="2" fillId="0" borderId="76" xfId="17" applyNumberFormat="1" applyFont="1" applyBorder="1" applyAlignment="1">
      <alignment horizontal="right"/>
      <protection/>
    </xf>
    <xf numFmtId="165" fontId="2" fillId="0" borderId="76" xfId="17" applyNumberFormat="1" applyFont="1" applyBorder="1" applyAlignment="1">
      <alignment horizontal="right" wrapText="1"/>
      <protection/>
    </xf>
    <xf numFmtId="0" fontId="2" fillId="0" borderId="76" xfId="0" applyFont="1" applyBorder="1" applyAlignment="1">
      <alignment horizontal="right"/>
    </xf>
    <xf numFmtId="165" fontId="2" fillId="0" borderId="77" xfId="17" applyNumberFormat="1" applyFont="1" applyBorder="1" applyAlignment="1">
      <alignment horizontal="right"/>
      <protection/>
    </xf>
    <xf numFmtId="0" fontId="3" fillId="0" borderId="78" xfId="17" applyFont="1" applyBorder="1" applyAlignment="1">
      <alignment horizontal="left"/>
      <protection/>
    </xf>
    <xf numFmtId="165" fontId="2" fillId="0" borderId="75" xfId="17" applyNumberFormat="1" applyFont="1" applyBorder="1" applyAlignment="1">
      <alignment horizontal="right" wrapText="1"/>
      <protection/>
    </xf>
    <xf numFmtId="0" fontId="2" fillId="0" borderId="75" xfId="17" applyFont="1" applyBorder="1" applyAlignment="1">
      <alignment horizontal="right"/>
      <protection/>
    </xf>
    <xf numFmtId="165" fontId="2" fillId="0" borderId="75" xfId="17" applyNumberFormat="1" applyFont="1" applyBorder="1" applyAlignment="1">
      <alignment horizontal="right"/>
      <protection/>
    </xf>
    <xf numFmtId="9" fontId="10" fillId="0" borderId="75" xfId="18" applyFont="1" applyBorder="1" applyAlignment="1">
      <alignment horizontal="left"/>
      <protection/>
    </xf>
    <xf numFmtId="165" fontId="3" fillId="0" borderId="75" xfId="17" applyNumberFormat="1" applyFont="1" applyBorder="1" applyAlignment="1">
      <alignment horizontal="right" wrapText="1"/>
      <protection/>
    </xf>
    <xf numFmtId="165" fontId="2" fillId="0" borderId="79" xfId="17" applyNumberFormat="1" applyFont="1" applyBorder="1" applyAlignment="1">
      <alignment horizontal="right"/>
      <protection/>
    </xf>
    <xf numFmtId="0" fontId="2" fillId="0" borderId="83" xfId="17" applyFont="1" applyBorder="1" applyAlignment="1">
      <alignment horizontal="right"/>
      <protection/>
    </xf>
    <xf numFmtId="165" fontId="2" fillId="0" borderId="77" xfId="17" applyNumberFormat="1" applyFont="1" applyBorder="1" applyAlignment="1">
      <alignment horizontal="right" wrapText="1"/>
      <protection/>
    </xf>
    <xf numFmtId="165" fontId="2" fillId="0" borderId="79" xfId="17" applyNumberFormat="1" applyFont="1" applyBorder="1" applyAlignment="1">
      <alignment horizontal="right" wrapText="1"/>
      <protection/>
    </xf>
    <xf numFmtId="165" fontId="2" fillId="0" borderId="82" xfId="17" applyNumberFormat="1" applyFont="1" applyBorder="1" applyAlignment="1">
      <alignment horizontal="right" wrapText="1"/>
      <protection/>
    </xf>
    <xf numFmtId="165" fontId="2" fillId="0" borderId="83" xfId="17" applyNumberFormat="1" applyFont="1" applyBorder="1" applyAlignment="1">
      <alignment horizontal="right"/>
      <protection/>
    </xf>
    <xf numFmtId="165" fontId="2" fillId="0" borderId="78" xfId="17" applyNumberFormat="1" applyFont="1" applyBorder="1" applyAlignment="1">
      <alignment horizontal="right"/>
      <protection/>
    </xf>
    <xf numFmtId="165" fontId="2" fillId="0" borderId="15" xfId="17" applyNumberFormat="1" applyFont="1" applyBorder="1" applyAlignment="1">
      <alignment horizontal="right"/>
      <protection/>
    </xf>
    <xf numFmtId="0" fontId="3" fillId="0" borderId="78" xfId="17" applyFont="1" applyBorder="1" applyAlignment="1">
      <alignment horizontal="left" wrapText="1"/>
      <protection/>
    </xf>
    <xf numFmtId="0" fontId="3" fillId="0" borderId="15" xfId="17" applyFont="1" applyBorder="1" applyAlignment="1">
      <alignment horizontal="left" wrapText="1"/>
      <protection/>
    </xf>
    <xf numFmtId="0" fontId="2" fillId="0" borderId="78" xfId="17" applyFont="1" applyBorder="1" applyAlignment="1">
      <alignment horizontal="left"/>
      <protection/>
    </xf>
    <xf numFmtId="0" fontId="2" fillId="0" borderId="15" xfId="17" applyFont="1" applyBorder="1" applyAlignment="1">
      <alignment horizontal="left"/>
      <protection/>
    </xf>
    <xf numFmtId="9" fontId="10" fillId="0" borderId="64" xfId="18" applyFont="1" applyBorder="1" applyAlignment="1">
      <alignment horizontal="left"/>
      <protection/>
    </xf>
    <xf numFmtId="165" fontId="2" fillId="0" borderId="18" xfId="17" applyNumberFormat="1" applyFont="1" applyBorder="1" applyAlignment="1">
      <alignment horizontal="right" wrapText="1"/>
      <protection/>
    </xf>
    <xf numFmtId="0" fontId="2" fillId="0" borderId="19" xfId="17" applyFont="1" applyBorder="1" applyAlignment="1">
      <alignment horizontal="left" wrapText="1"/>
      <protection/>
    </xf>
    <xf numFmtId="9" fontId="10" fillId="0" borderId="49" xfId="18" applyFont="1" applyBorder="1" applyAlignment="1">
      <alignment horizontal="left"/>
      <protection/>
    </xf>
    <xf numFmtId="0" fontId="6" fillId="0" borderId="72" xfId="17" applyFont="1" applyBorder="1" applyAlignment="1">
      <alignment horizontal="right"/>
      <protection/>
    </xf>
    <xf numFmtId="165" fontId="6" fillId="0" borderId="11" xfId="17" applyNumberFormat="1" applyFont="1" applyBorder="1" applyAlignment="1">
      <alignment horizontal="right" wrapText="1"/>
      <protection/>
    </xf>
    <xf numFmtId="165" fontId="6" fillId="0" borderId="71" xfId="17" applyNumberFormat="1" applyFont="1" applyBorder="1" applyAlignment="1">
      <alignment horizontal="right" wrapText="1"/>
      <protection/>
    </xf>
    <xf numFmtId="0" fontId="6" fillId="0" borderId="8" xfId="17" applyFont="1" applyBorder="1" applyAlignment="1">
      <alignment horizontal="right"/>
      <protection/>
    </xf>
    <xf numFmtId="165" fontId="6" fillId="0" borderId="6" xfId="17" applyNumberFormat="1" applyFont="1" applyBorder="1" applyAlignment="1">
      <alignment horizontal="right" wrapText="1"/>
      <protection/>
    </xf>
    <xf numFmtId="165" fontId="6" fillId="0" borderId="7" xfId="17" applyNumberFormat="1" applyFont="1" applyBorder="1" applyAlignment="1">
      <alignment horizontal="right" wrapText="1"/>
      <protection/>
    </xf>
    <xf numFmtId="0" fontId="11" fillId="0" borderId="84" xfId="17" applyFont="1" applyBorder="1" applyAlignment="1">
      <alignment horizontal="right"/>
      <protection/>
    </xf>
    <xf numFmtId="165" fontId="11" fillId="0" borderId="51" xfId="17" applyNumberFormat="1" applyFont="1" applyBorder="1" applyAlignment="1">
      <alignment horizontal="right" wrapText="1"/>
      <protection/>
    </xf>
    <xf numFmtId="165" fontId="11" fillId="0" borderId="12" xfId="17" applyNumberFormat="1" applyFont="1" applyBorder="1" applyAlignment="1">
      <alignment horizontal="right" wrapText="1"/>
      <protection/>
    </xf>
    <xf numFmtId="0" fontId="4" fillId="0" borderId="0" xfId="17" applyFont="1">
      <alignment/>
      <protection/>
    </xf>
    <xf numFmtId="0" fontId="3" fillId="0" borderId="0" xfId="17" applyFont="1" quotePrefix="1">
      <alignment/>
      <protection/>
    </xf>
    <xf numFmtId="0" fontId="2" fillId="0" borderId="0" xfId="17" applyBorder="1" applyAlignment="1">
      <alignment/>
      <protection/>
    </xf>
    <xf numFmtId="0" fontId="3" fillId="0" borderId="0" xfId="17" applyBorder="1">
      <alignment/>
      <protection/>
    </xf>
    <xf numFmtId="1" fontId="3" fillId="0" borderId="0" xfId="17" applyFont="1">
      <alignment/>
      <protection/>
    </xf>
    <xf numFmtId="0" fontId="3" fillId="0" borderId="0" xfId="17" applyBorder="1">
      <alignment horizontal="center"/>
      <protection/>
    </xf>
    <xf numFmtId="0" fontId="2" fillId="0" borderId="0" xfId="17" applyFont="1" applyBorder="1">
      <alignment/>
      <protection/>
    </xf>
    <xf numFmtId="3" fontId="3" fillId="0" borderId="0" xfId="17" applyBorder="1" applyAlignment="1">
      <alignment/>
      <protection/>
    </xf>
    <xf numFmtId="1" fontId="3" fillId="0" borderId="6" xfId="17" applyFont="1" applyBorder="1">
      <alignment/>
      <protection/>
    </xf>
    <xf numFmtId="1" fontId="3" fillId="0" borderId="6" xfId="17" applyBorder="1">
      <alignment/>
      <protection/>
    </xf>
    <xf numFmtId="165" fontId="3" fillId="0" borderId="6" xfId="16" applyNumberFormat="1" applyFont="1" applyBorder="1">
      <alignment/>
      <protection/>
    </xf>
    <xf numFmtId="9" fontId="3" fillId="0" borderId="7" xfId="15" applyFont="1" applyBorder="1">
      <alignment/>
      <protection/>
    </xf>
    <xf numFmtId="0" fontId="3" fillId="0" borderId="71" xfId="17" applyBorder="1">
      <alignment/>
      <protection/>
    </xf>
    <xf numFmtId="0" fontId="3" fillId="0" borderId="72" xfId="17" applyBorder="1">
      <alignment/>
      <protection/>
    </xf>
    <xf numFmtId="0" fontId="3" fillId="0" borderId="12" xfId="17" applyFont="1" applyBorder="1">
      <alignment/>
      <protection/>
    </xf>
    <xf numFmtId="0" fontId="3" fillId="0" borderId="84" xfId="17" applyBorder="1">
      <alignment/>
      <protection/>
    </xf>
    <xf numFmtId="165" fontId="3" fillId="0" borderId="51" xfId="16" applyNumberFormat="1" applyFont="1" applyBorder="1">
      <alignment/>
      <protection/>
    </xf>
    <xf numFmtId="0" fontId="3" fillId="0" borderId="17" xfId="17" applyBorder="1">
      <alignment/>
      <protection/>
    </xf>
    <xf numFmtId="0" fontId="3" fillId="0" borderId="85" xfId="17" applyBorder="1">
      <alignment/>
      <protection/>
    </xf>
    <xf numFmtId="0" fontId="3" fillId="0" borderId="86" xfId="17" applyBorder="1">
      <alignment/>
      <protection/>
    </xf>
    <xf numFmtId="0" fontId="3" fillId="0" borderId="18" xfId="17" applyBorder="1">
      <alignment/>
      <protection/>
    </xf>
    <xf numFmtId="9" fontId="3" fillId="0" borderId="9" xfId="15" applyBorder="1">
      <alignment/>
      <protection/>
    </xf>
    <xf numFmtId="0" fontId="3" fillId="0" borderId="30" xfId="17" applyBorder="1">
      <alignment/>
      <protection/>
    </xf>
    <xf numFmtId="3" fontId="3" fillId="0" borderId="52" xfId="15" applyBorder="1" applyAlignment="1">
      <alignment/>
      <protection/>
    </xf>
    <xf numFmtId="0" fontId="3" fillId="0" borderId="29" xfId="17" applyBorder="1">
      <alignment/>
      <protection/>
    </xf>
    <xf numFmtId="9" fontId="3" fillId="0" borderId="9" xfId="17" applyBorder="1">
      <alignment/>
      <protection/>
    </xf>
    <xf numFmtId="0" fontId="3" fillId="0" borderId="19" xfId="17" applyBorder="1">
      <alignment/>
      <protection/>
    </xf>
    <xf numFmtId="0" fontId="3" fillId="0" borderId="87" xfId="17" applyFont="1" applyBorder="1">
      <alignment/>
      <protection/>
    </xf>
    <xf numFmtId="0" fontId="3" fillId="0" borderId="88" xfId="17" applyBorder="1">
      <alignment horizontal="center"/>
      <protection/>
    </xf>
    <xf numFmtId="165" fontId="3" fillId="0" borderId="49" xfId="16" applyNumberFormat="1" applyFont="1" applyBorder="1">
      <alignment/>
      <protection/>
    </xf>
    <xf numFmtId="0" fontId="3" fillId="0" borderId="0" xfId="17" applyBorder="1">
      <alignment/>
      <protection/>
    </xf>
    <xf numFmtId="0" fontId="3" fillId="0" borderId="6" xfId="17" applyFont="1" applyBorder="1" applyAlignment="1">
      <alignment horizontal="center" wrapText="1"/>
      <protection/>
    </xf>
    <xf numFmtId="1" fontId="3" fillId="0" borderId="6" xfId="17" applyNumberFormat="1" applyBorder="1">
      <alignment horizontal="center"/>
      <protection/>
    </xf>
    <xf numFmtId="0" fontId="2" fillId="0" borderId="6" xfId="17" applyBorder="1">
      <alignment horizontal="center"/>
      <protection/>
    </xf>
    <xf numFmtId="3" fontId="3" fillId="0" borderId="6" xfId="17" applyBorder="1">
      <alignment horizontal="center"/>
      <protection/>
    </xf>
    <xf numFmtId="0" fontId="3" fillId="0" borderId="0" xfId="17" applyFill="1" applyBorder="1">
      <alignment/>
      <protection/>
    </xf>
    <xf numFmtId="0" fontId="3" fillId="0" borderId="0" xfId="17" applyFill="1" applyBorder="1">
      <alignment/>
      <protection/>
    </xf>
    <xf numFmtId="0" fontId="3" fillId="0" borderId="6" xfId="17" applyFill="1" applyBorder="1">
      <alignment horizontal="center"/>
      <protection/>
    </xf>
    <xf numFmtId="1" fontId="3" fillId="0" borderId="6" xfId="17" applyNumberFormat="1" applyFill="1" applyBorder="1">
      <alignment horizontal="center"/>
      <protection/>
    </xf>
    <xf numFmtId="0" fontId="2" fillId="0" borderId="0" xfId="17" applyBorder="1" applyAlignment="1">
      <alignment/>
      <protection/>
    </xf>
    <xf numFmtId="0" fontId="2" fillId="0" borderId="27" xfId="17" applyFill="1" applyBorder="1" applyAlignment="1">
      <alignment/>
      <protection/>
    </xf>
    <xf numFmtId="0" fontId="2" fillId="0" borderId="28" xfId="17" applyFill="1" applyBorder="1" applyAlignment="1">
      <alignment/>
      <protection/>
    </xf>
    <xf numFmtId="0" fontId="3" fillId="0" borderId="89" xfId="17" applyFill="1" applyBorder="1">
      <alignment/>
      <protection/>
    </xf>
    <xf numFmtId="0" fontId="3" fillId="0" borderId="9" xfId="17" applyFill="1" applyBorder="1">
      <alignment horizontal="center"/>
      <protection/>
    </xf>
    <xf numFmtId="1" fontId="3" fillId="0" borderId="9" xfId="17" applyNumberFormat="1" applyFill="1" applyBorder="1">
      <alignment horizontal="center"/>
      <protection/>
    </xf>
    <xf numFmtId="1" fontId="3" fillId="0" borderId="19" xfId="17" applyNumberFormat="1" applyFill="1" applyBorder="1">
      <alignment horizontal="center"/>
      <protection/>
    </xf>
    <xf numFmtId="1" fontId="3" fillId="0" borderId="49" xfId="17" applyNumberFormat="1" applyFill="1" applyBorder="1">
      <alignment horizontal="center"/>
      <protection/>
    </xf>
    <xf numFmtId="1" fontId="3" fillId="0" borderId="64" xfId="17" applyNumberFormat="1" applyBorder="1">
      <alignment horizontal="center"/>
      <protection/>
    </xf>
    <xf numFmtId="1" fontId="3" fillId="0" borderId="9" xfId="17" applyNumberFormat="1" applyBorder="1">
      <alignment horizontal="center"/>
      <protection/>
    </xf>
    <xf numFmtId="165" fontId="3" fillId="0" borderId="10" xfId="16" applyNumberFormat="1" applyFont="1" applyBorder="1">
      <alignment/>
      <protection/>
    </xf>
    <xf numFmtId="1" fontId="3" fillId="0" borderId="19" xfId="17" applyNumberFormat="1" applyBorder="1">
      <alignment horizontal="center"/>
      <protection/>
    </xf>
    <xf numFmtId="1" fontId="3" fillId="0" borderId="49" xfId="17" applyNumberFormat="1" applyBorder="1">
      <alignment horizontal="center"/>
      <protection/>
    </xf>
    <xf numFmtId="0" fontId="3" fillId="0" borderId="7" xfId="17" applyFont="1" applyFill="1" applyBorder="1" applyAlignment="1">
      <alignment horizontal="center" wrapText="1"/>
      <protection/>
    </xf>
    <xf numFmtId="165" fontId="3" fillId="0" borderId="7" xfId="16" applyNumberFormat="1" applyFont="1" applyFill="1" applyBorder="1">
      <alignment/>
      <protection/>
    </xf>
    <xf numFmtId="165" fontId="3" fillId="0" borderId="87" xfId="16" applyNumberFormat="1" applyFont="1" applyFill="1" applyBorder="1">
      <alignment/>
      <protection/>
    </xf>
    <xf numFmtId="0" fontId="2" fillId="0" borderId="28" xfId="17" applyBorder="1">
      <alignment horizontal="center"/>
      <protection/>
    </xf>
    <xf numFmtId="0" fontId="3" fillId="0" borderId="44" xfId="17" applyFont="1" applyBorder="1" applyAlignment="1">
      <alignment horizontal="center"/>
      <protection/>
    </xf>
    <xf numFmtId="0" fontId="3" fillId="0" borderId="10" xfId="17" applyFont="1" applyBorder="1" applyAlignment="1">
      <alignment horizontal="center" wrapText="1"/>
      <protection/>
    </xf>
    <xf numFmtId="165" fontId="3" fillId="0" borderId="10" xfId="17" applyNumberFormat="1" applyBorder="1">
      <alignment/>
      <protection/>
    </xf>
    <xf numFmtId="165" fontId="3" fillId="0" borderId="50" xfId="17" applyNumberFormat="1" applyBorder="1">
      <alignment/>
      <protection/>
    </xf>
    <xf numFmtId="165" fontId="3" fillId="0" borderId="64" xfId="16" applyNumberFormat="1" applyFont="1" applyBorder="1">
      <alignment/>
      <protection/>
    </xf>
    <xf numFmtId="0" fontId="2" fillId="0" borderId="27" xfId="17" applyBorder="1" applyAlignment="1">
      <alignment/>
      <protection/>
    </xf>
    <xf numFmtId="0" fontId="2" fillId="0" borderId="28" xfId="17" applyBorder="1" applyAlignment="1">
      <alignment/>
      <protection/>
    </xf>
    <xf numFmtId="0" fontId="2" fillId="0" borderId="32" xfId="17" applyBorder="1" applyAlignment="1">
      <alignment/>
      <protection/>
    </xf>
    <xf numFmtId="0" fontId="3" fillId="0" borderId="89" xfId="17" applyBorder="1">
      <alignment/>
      <protection/>
    </xf>
    <xf numFmtId="0" fontId="3" fillId="0" borderId="90" xfId="17" applyBorder="1">
      <alignment/>
      <protection/>
    </xf>
    <xf numFmtId="3" fontId="3" fillId="0" borderId="50" xfId="15" applyBorder="1">
      <alignment horizontal="center"/>
      <protection/>
    </xf>
    <xf numFmtId="1" fontId="3" fillId="0" borderId="64" xfId="17" applyBorder="1">
      <alignment horizontal="center"/>
      <protection/>
    </xf>
    <xf numFmtId="0" fontId="2" fillId="0" borderId="91" xfId="17" applyBorder="1" applyAlignment="1">
      <alignment horizontal="left"/>
      <protection/>
    </xf>
    <xf numFmtId="0" fontId="2" fillId="0" borderId="92" xfId="17" applyBorder="1">
      <alignment horizontal="center"/>
      <protection/>
    </xf>
    <xf numFmtId="0" fontId="2" fillId="0" borderId="93" xfId="17" applyBorder="1">
      <alignment horizontal="center"/>
      <protection/>
    </xf>
    <xf numFmtId="0" fontId="2" fillId="0" borderId="32" xfId="17" applyBorder="1">
      <alignment horizontal="center"/>
      <protection/>
    </xf>
    <xf numFmtId="0" fontId="3" fillId="0" borderId="94" xfId="17" applyBorder="1">
      <alignment/>
      <protection/>
    </xf>
    <xf numFmtId="165" fontId="3" fillId="0" borderId="49" xfId="17" applyNumberFormat="1" applyBorder="1">
      <alignment/>
      <protection/>
    </xf>
    <xf numFmtId="165" fontId="3" fillId="0" borderId="64" xfId="17" applyNumberFormat="1" applyBorder="1">
      <alignment/>
      <protection/>
    </xf>
    <xf numFmtId="3" fontId="3" fillId="0" borderId="49" xfId="17" applyBorder="1">
      <alignment horizontal="center"/>
      <protection/>
    </xf>
    <xf numFmtId="0" fontId="2" fillId="0" borderId="27" xfId="17" applyFont="1" applyBorder="1" applyAlignment="1">
      <alignment/>
      <protection/>
    </xf>
    <xf numFmtId="0" fontId="2" fillId="0" borderId="90" xfId="17" applyBorder="1">
      <alignment horizontal="center"/>
      <protection/>
    </xf>
    <xf numFmtId="0" fontId="2" fillId="0" borderId="9" xfId="17" applyBorder="1">
      <alignment horizontal="left"/>
      <protection/>
    </xf>
    <xf numFmtId="3" fontId="2" fillId="0" borderId="10" xfId="15" applyBorder="1">
      <alignment horizontal="center"/>
      <protection/>
    </xf>
    <xf numFmtId="3" fontId="2" fillId="0" borderId="9" xfId="15" applyBorder="1">
      <alignment horizontal="center"/>
      <protection/>
    </xf>
    <xf numFmtId="3" fontId="2" fillId="0" borderId="10" xfId="17" applyBorder="1">
      <alignment horizontal="center"/>
      <protection/>
    </xf>
    <xf numFmtId="165" fontId="2" fillId="0" borderId="10" xfId="15" applyNumberFormat="1" applyBorder="1">
      <alignment horizontal="center"/>
      <protection/>
    </xf>
    <xf numFmtId="165" fontId="2" fillId="0" borderId="50" xfId="15" applyNumberFormat="1" applyBorder="1">
      <alignment horizontal="center"/>
      <protection/>
    </xf>
    <xf numFmtId="165" fontId="2" fillId="0" borderId="18" xfId="15" applyNumberFormat="1" applyBorder="1">
      <alignment horizontal="center"/>
      <protection/>
    </xf>
    <xf numFmtId="0" fontId="3" fillId="0" borderId="0" xfId="17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95" xfId="17" applyBorder="1">
      <alignment/>
      <protection/>
    </xf>
    <xf numFmtId="165" fontId="3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17" applyFont="1" applyBorder="1">
      <alignment/>
      <protection/>
    </xf>
    <xf numFmtId="0" fontId="2" fillId="0" borderId="7" xfId="17" applyBorder="1">
      <alignment/>
      <protection/>
    </xf>
    <xf numFmtId="0" fontId="3" fillId="0" borderId="9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6" xfId="0" applyFont="1" applyBorder="1" applyAlignment="1" quotePrefix="1">
      <alignment/>
    </xf>
    <xf numFmtId="0" fontId="3" fillId="0" borderId="4" xfId="0" applyFont="1" applyBorder="1" applyAlignment="1" quotePrefix="1">
      <alignment/>
    </xf>
    <xf numFmtId="1" fontId="3" fillId="0" borderId="96" xfId="17" applyFont="1" applyBorder="1">
      <alignment/>
      <protection/>
    </xf>
    <xf numFmtId="0" fontId="3" fillId="0" borderId="30" xfId="17" applyFont="1" applyBorder="1" applyAlignment="1">
      <alignment horizontal="center" wrapText="1"/>
      <protection/>
    </xf>
    <xf numFmtId="165" fontId="3" fillId="0" borderId="9" xfId="17" applyNumberFormat="1" applyFont="1" applyBorder="1">
      <alignment/>
      <protection/>
    </xf>
    <xf numFmtId="165" fontId="2" fillId="0" borderId="10" xfId="0" applyNumberFormat="1" applyFont="1" applyBorder="1" applyAlignment="1">
      <alignment/>
    </xf>
    <xf numFmtId="165" fontId="3" fillId="0" borderId="49" xfId="0" applyNumberFormat="1" applyFont="1" applyBorder="1" applyAlignment="1">
      <alignment/>
    </xf>
    <xf numFmtId="165" fontId="2" fillId="0" borderId="50" xfId="0" applyNumberFormat="1" applyFont="1" applyBorder="1" applyAlignment="1">
      <alignment/>
    </xf>
    <xf numFmtId="165" fontId="3" fillId="0" borderId="0" xfId="16" applyNumberFormat="1" applyFont="1" applyBorder="1" applyAlignment="1">
      <alignment/>
      <protection/>
    </xf>
    <xf numFmtId="165" fontId="3" fillId="0" borderId="0" xfId="16" applyNumberFormat="1" applyFont="1" applyBorder="1" applyAlignment="1">
      <alignment/>
      <protection/>
    </xf>
    <xf numFmtId="0" fontId="2" fillId="3" borderId="97" xfId="17" applyFill="1" applyBorder="1">
      <alignment/>
      <protection/>
    </xf>
    <xf numFmtId="1" fontId="3" fillId="3" borderId="29" xfId="17" applyFill="1" applyBorder="1">
      <alignment horizontal="center"/>
      <protection/>
    </xf>
    <xf numFmtId="1" fontId="3" fillId="3" borderId="11" xfId="17" applyFill="1" applyBorder="1">
      <alignment horizontal="center"/>
      <protection/>
    </xf>
    <xf numFmtId="0" fontId="8" fillId="3" borderId="53" xfId="17" applyFill="1" applyBorder="1">
      <alignment horizontal="center"/>
      <protection/>
    </xf>
    <xf numFmtId="0" fontId="3" fillId="3" borderId="53" xfId="17" applyFill="1" applyBorder="1">
      <alignment horizontal="center"/>
      <protection/>
    </xf>
    <xf numFmtId="0" fontId="2" fillId="3" borderId="42" xfId="17" applyFill="1" applyBorder="1">
      <alignment/>
      <protection/>
    </xf>
    <xf numFmtId="1" fontId="3" fillId="3" borderId="9" xfId="17" applyFill="1" applyBorder="1">
      <alignment horizontal="center"/>
      <protection/>
    </xf>
    <xf numFmtId="1" fontId="3" fillId="3" borderId="6" xfId="17" applyFill="1" applyBorder="1">
      <alignment horizontal="center"/>
      <protection/>
    </xf>
    <xf numFmtId="0" fontId="8" fillId="3" borderId="10" xfId="17" applyFill="1" applyBorder="1">
      <alignment horizontal="center"/>
      <protection/>
    </xf>
    <xf numFmtId="0" fontId="3" fillId="3" borderId="10" xfId="17" applyFill="1" applyBorder="1">
      <alignment horizontal="center"/>
      <protection/>
    </xf>
    <xf numFmtId="0" fontId="7" fillId="3" borderId="10" xfId="17" applyFill="1" applyBorder="1">
      <alignment horizontal="center"/>
      <protection/>
    </xf>
    <xf numFmtId="0" fontId="2" fillId="3" borderId="68" xfId="17" applyFill="1" applyBorder="1">
      <alignment/>
      <protection/>
    </xf>
    <xf numFmtId="1" fontId="3" fillId="3" borderId="19" xfId="17" applyFill="1" applyBorder="1">
      <alignment horizontal="center"/>
      <protection/>
    </xf>
    <xf numFmtId="1" fontId="3" fillId="3" borderId="49" xfId="17" applyFill="1" applyBorder="1">
      <alignment horizontal="center"/>
      <protection/>
    </xf>
    <xf numFmtId="0" fontId="8" fillId="3" borderId="50" xfId="17" applyFill="1" applyBorder="1">
      <alignment horizontal="center"/>
      <protection/>
    </xf>
    <xf numFmtId="0" fontId="3" fillId="3" borderId="50" xfId="17" applyFill="1" applyBorder="1">
      <alignment horizontal="center"/>
      <protection/>
    </xf>
    <xf numFmtId="0" fontId="6" fillId="0" borderId="6" xfId="17" applyFont="1" applyBorder="1">
      <alignment horizontal="center" wrapText="1"/>
      <protection/>
    </xf>
    <xf numFmtId="165" fontId="6" fillId="0" borderId="6" xfId="15" applyNumberFormat="1" applyFont="1" applyBorder="1" applyAlignment="1">
      <alignment horizontal="right"/>
      <protection/>
    </xf>
    <xf numFmtId="165" fontId="6" fillId="0" borderId="49" xfId="15" applyNumberFormat="1" applyFont="1" applyBorder="1" applyAlignment="1">
      <alignment horizontal="right"/>
      <protection/>
    </xf>
    <xf numFmtId="0" fontId="2" fillId="0" borderId="9" xfId="17" applyFont="1" applyBorder="1">
      <alignment horizontal="center" wrapText="1"/>
      <protection/>
    </xf>
    <xf numFmtId="165" fontId="2" fillId="0" borderId="9" xfId="15" applyNumberFormat="1" applyFont="1" applyBorder="1" applyAlignment="1">
      <alignment horizontal="right"/>
      <protection/>
    </xf>
    <xf numFmtId="165" fontId="2" fillId="0" borderId="19" xfId="15" applyNumberFormat="1" applyFont="1" applyBorder="1" applyAlignment="1">
      <alignment horizontal="right"/>
      <protection/>
    </xf>
    <xf numFmtId="0" fontId="6" fillId="0" borderId="10" xfId="17" applyFont="1" applyBorder="1">
      <alignment horizontal="center" wrapText="1"/>
      <protection/>
    </xf>
    <xf numFmtId="165" fontId="6" fillId="0" borderId="10" xfId="15" applyNumberFormat="1" applyFont="1" applyBorder="1" applyAlignment="1">
      <alignment horizontal="right"/>
      <protection/>
    </xf>
    <xf numFmtId="165" fontId="6" fillId="0" borderId="50" xfId="15" applyNumberFormat="1" applyFont="1" applyBorder="1" applyAlignment="1">
      <alignment horizontal="right"/>
      <protection/>
    </xf>
    <xf numFmtId="165" fontId="6" fillId="0" borderId="0" xfId="17" applyNumberFormat="1" applyBorder="1" applyAlignment="1">
      <alignment horizontal="right"/>
      <protection/>
    </xf>
    <xf numFmtId="165" fontId="6" fillId="0" borderId="0" xfId="17" applyNumberFormat="1" applyFont="1" applyBorder="1" applyAlignment="1">
      <alignment horizontal="right"/>
      <protection/>
    </xf>
    <xf numFmtId="165" fontId="2" fillId="0" borderId="17" xfId="15" applyNumberFormat="1" applyFont="1" applyBorder="1" applyAlignment="1">
      <alignment horizontal="right"/>
      <protection/>
    </xf>
    <xf numFmtId="165" fontId="6" fillId="0" borderId="64" xfId="15" applyNumberFormat="1" applyBorder="1" applyAlignment="1">
      <alignment horizontal="right"/>
      <protection/>
    </xf>
    <xf numFmtId="165" fontId="6" fillId="0" borderId="64" xfId="15" applyNumberFormat="1" applyFont="1" applyBorder="1" applyAlignment="1">
      <alignment horizontal="right"/>
      <protection/>
    </xf>
    <xf numFmtId="165" fontId="6" fillId="0" borderId="18" xfId="15" applyNumberFormat="1" applyFont="1" applyBorder="1" applyAlignment="1">
      <alignment horizontal="right"/>
      <protection/>
    </xf>
    <xf numFmtId="0" fontId="3" fillId="0" borderId="0" xfId="17" applyFont="1">
      <alignment/>
      <protection/>
    </xf>
    <xf numFmtId="2" fontId="0" fillId="0" borderId="0" xfId="0" applyNumberFormat="1" applyAlignment="1">
      <alignment/>
    </xf>
    <xf numFmtId="9" fontId="0" fillId="0" borderId="0" xfId="18">
      <alignment/>
      <protection/>
    </xf>
    <xf numFmtId="168" fontId="0" fillId="0" borderId="0" xfId="18" applyNumberFormat="1">
      <alignment/>
      <protection/>
    </xf>
    <xf numFmtId="168" fontId="0" fillId="0" borderId="0" xfId="0" applyNumberFormat="1" applyAlignment="1">
      <alignment/>
    </xf>
    <xf numFmtId="168" fontId="3" fillId="0" borderId="0" xfId="15" applyNumberFormat="1" applyFont="1">
      <alignment/>
      <protection/>
    </xf>
    <xf numFmtId="168" fontId="0" fillId="0" borderId="0" xfId="18" applyNumberFormat="1" applyFont="1">
      <alignment/>
      <protection/>
    </xf>
    <xf numFmtId="3" fontId="3" fillId="0" borderId="0" xfId="16" applyNumberFormat="1" applyFont="1" applyBorder="1" applyAlignment="1">
      <alignment/>
      <protection/>
    </xf>
    <xf numFmtId="165" fontId="3" fillId="0" borderId="7" xfId="17" applyNumberFormat="1" applyBorder="1">
      <alignment/>
      <protection/>
    </xf>
    <xf numFmtId="165" fontId="3" fillId="0" borderId="87" xfId="17" applyNumberFormat="1" applyBorder="1">
      <alignment/>
      <protection/>
    </xf>
    <xf numFmtId="0" fontId="2" fillId="0" borderId="10" xfId="17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165" fontId="6" fillId="0" borderId="6" xfId="0" applyNumberFormat="1" applyFont="1" applyBorder="1" applyAlignment="1">
      <alignment/>
    </xf>
    <xf numFmtId="0" fontId="2" fillId="0" borderId="71" xfId="17" applyBorder="1">
      <alignment/>
      <protection/>
    </xf>
    <xf numFmtId="165" fontId="3" fillId="0" borderId="19" xfId="17" applyNumberFormat="1" applyFont="1" applyBorder="1">
      <alignment/>
      <protection/>
    </xf>
    <xf numFmtId="165" fontId="6" fillId="0" borderId="49" xfId="0" applyNumberFormat="1" applyFont="1" applyBorder="1" applyAlignment="1">
      <alignment/>
    </xf>
    <xf numFmtId="165" fontId="3" fillId="0" borderId="17" xfId="17" applyNumberFormat="1" applyFont="1" applyBorder="1">
      <alignment/>
      <protection/>
    </xf>
    <xf numFmtId="165" fontId="6" fillId="0" borderId="64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165" fontId="2" fillId="0" borderId="7" xfId="0" applyNumberFormat="1" applyFont="1" applyBorder="1" applyAlignment="1">
      <alignment/>
    </xf>
    <xf numFmtId="165" fontId="2" fillId="0" borderId="87" xfId="0" applyNumberFormat="1" applyFont="1" applyBorder="1" applyAlignment="1">
      <alignment/>
    </xf>
    <xf numFmtId="0" fontId="3" fillId="0" borderId="6" xfId="0" applyFont="1" applyBorder="1" applyAlignment="1">
      <alignment/>
    </xf>
    <xf numFmtId="165" fontId="2" fillId="0" borderId="85" xfId="0" applyNumberFormat="1" applyFont="1" applyBorder="1" applyAlignment="1">
      <alignment/>
    </xf>
    <xf numFmtId="0" fontId="6" fillId="0" borderId="6" xfId="17" applyFont="1" applyBorder="1" applyAlignment="1">
      <alignment horizontal="center" wrapText="1"/>
      <protection/>
    </xf>
    <xf numFmtId="165" fontId="2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49" xfId="0" applyNumberFormat="1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3" fillId="0" borderId="9" xfId="17" applyFont="1" applyBorder="1" applyAlignment="1">
      <alignment horizontal="center" wrapText="1"/>
      <protection/>
    </xf>
    <xf numFmtId="3" fontId="2" fillId="0" borderId="10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64" xfId="0" applyNumberFormat="1" applyFont="1" applyBorder="1" applyAlignment="1">
      <alignment/>
    </xf>
    <xf numFmtId="165" fontId="3" fillId="0" borderId="64" xfId="0" applyNumberFormat="1" applyFont="1" applyBorder="1" applyAlignment="1">
      <alignment/>
    </xf>
    <xf numFmtId="0" fontId="11" fillId="0" borderId="98" xfId="17" applyFont="1" applyBorder="1">
      <alignment horizontal="center"/>
      <protection/>
    </xf>
    <xf numFmtId="0" fontId="11" fillId="0" borderId="99" xfId="17" applyFont="1" applyBorder="1">
      <alignment/>
      <protection/>
    </xf>
    <xf numFmtId="0" fontId="6" fillId="0" borderId="100" xfId="17" applyFont="1" applyBorder="1">
      <alignment horizontal="center"/>
      <protection/>
    </xf>
    <xf numFmtId="0" fontId="6" fillId="0" borderId="100" xfId="17" applyFont="1" applyBorder="1">
      <alignment/>
      <protection/>
    </xf>
    <xf numFmtId="165" fontId="6" fillId="0" borderId="100" xfId="17" applyNumberFormat="1" applyFont="1" applyBorder="1">
      <alignment/>
      <protection/>
    </xf>
    <xf numFmtId="165" fontId="6" fillId="0" borderId="101" xfId="17" applyNumberFormat="1" applyFont="1" applyBorder="1">
      <alignment/>
      <protection/>
    </xf>
    <xf numFmtId="0" fontId="2" fillId="0" borderId="102" xfId="17" applyBorder="1">
      <alignment/>
      <protection/>
    </xf>
    <xf numFmtId="1" fontId="3" fillId="0" borderId="103" xfId="17" applyNumberFormat="1" applyBorder="1">
      <alignment horizontal="center"/>
      <protection/>
    </xf>
    <xf numFmtId="165" fontId="3" fillId="0" borderId="104" xfId="16" applyNumberFormat="1" applyFont="1" applyFill="1" applyBorder="1">
      <alignment/>
      <protection/>
    </xf>
    <xf numFmtId="165" fontId="3" fillId="0" borderId="105" xfId="17" applyNumberFormat="1" applyBorder="1">
      <alignment/>
      <protection/>
    </xf>
    <xf numFmtId="0" fontId="3" fillId="0" borderId="103" xfId="17" applyBorder="1">
      <alignment horizontal="center"/>
      <protection/>
    </xf>
    <xf numFmtId="3" fontId="3" fillId="0" borderId="106" xfId="15" applyBorder="1">
      <alignment horizontal="center"/>
      <protection/>
    </xf>
    <xf numFmtId="165" fontId="3" fillId="0" borderId="107" xfId="16" applyNumberFormat="1" applyFont="1" applyBorder="1">
      <alignment/>
      <protection/>
    </xf>
    <xf numFmtId="165" fontId="3" fillId="0" borderId="0" xfId="17" applyNumberFormat="1" applyBorder="1">
      <alignment/>
      <protection/>
    </xf>
    <xf numFmtId="165" fontId="6" fillId="0" borderId="0" xfId="17" applyNumberFormat="1" applyFont="1" applyBorder="1">
      <alignment/>
      <protection/>
    </xf>
    <xf numFmtId="165" fontId="2" fillId="0" borderId="105" xfId="15" applyNumberFormat="1" applyBorder="1">
      <alignment horizontal="center"/>
      <protection/>
    </xf>
    <xf numFmtId="165" fontId="3" fillId="0" borderId="6" xfId="16" applyNumberFormat="1" applyFont="1" applyFill="1" applyBorder="1">
      <alignment/>
      <protection/>
    </xf>
    <xf numFmtId="165" fontId="3" fillId="0" borderId="64" xfId="16" applyNumberFormat="1" applyFont="1" applyFill="1" applyBorder="1">
      <alignment/>
      <protection/>
    </xf>
    <xf numFmtId="0" fontId="2" fillId="0" borderId="9" xfId="17" applyBorder="1">
      <alignment/>
      <protection/>
    </xf>
    <xf numFmtId="0" fontId="2" fillId="0" borderId="19" xfId="17" applyBorder="1">
      <alignment/>
      <protection/>
    </xf>
    <xf numFmtId="165" fontId="3" fillId="0" borderId="49" xfId="16" applyNumberFormat="1" applyFont="1" applyFill="1" applyBorder="1">
      <alignment/>
      <protection/>
    </xf>
    <xf numFmtId="0" fontId="3" fillId="0" borderId="6" xfId="17" applyFont="1" applyBorder="1">
      <alignment/>
      <protection/>
    </xf>
    <xf numFmtId="0" fontId="3" fillId="0" borderId="10" xfId="17" applyFont="1" applyBorder="1">
      <alignment horizontal="center"/>
      <protection/>
    </xf>
    <xf numFmtId="168" fontId="0" fillId="0" borderId="0" xfId="18" applyNumberFormat="1">
      <alignment/>
      <protection/>
    </xf>
    <xf numFmtId="168" fontId="0" fillId="0" borderId="0" xfId="18" applyNumberFormat="1" applyFont="1">
      <alignment/>
      <protection/>
    </xf>
    <xf numFmtId="0" fontId="2" fillId="0" borderId="86" xfId="17" applyBorder="1">
      <alignment/>
      <protection/>
    </xf>
    <xf numFmtId="0" fontId="2" fillId="0" borderId="8" xfId="17" applyBorder="1">
      <alignment/>
      <protection/>
    </xf>
    <xf numFmtId="0" fontId="2" fillId="0" borderId="88" xfId="17" applyBorder="1">
      <alignment/>
      <protection/>
    </xf>
    <xf numFmtId="0" fontId="2" fillId="0" borderId="27" xfId="17" applyFont="1" applyBorder="1">
      <alignment/>
      <protection/>
    </xf>
    <xf numFmtId="0" fontId="2" fillId="0" borderId="28" xfId="17" applyFont="1" applyBorder="1">
      <alignment/>
      <protection/>
    </xf>
    <xf numFmtId="0" fontId="2" fillId="0" borderId="44" xfId="17" applyBorder="1">
      <alignment/>
      <protection/>
    </xf>
    <xf numFmtId="0" fontId="3" fillId="0" borderId="10" xfId="17" applyFont="1" applyFill="1" applyBorder="1" applyAlignment="1">
      <alignment horizontal="center" wrapText="1"/>
      <protection/>
    </xf>
    <xf numFmtId="165" fontId="3" fillId="0" borderId="10" xfId="16" applyNumberFormat="1" applyFont="1" applyFill="1" applyBorder="1">
      <alignment/>
      <protection/>
    </xf>
    <xf numFmtId="165" fontId="3" fillId="0" borderId="50" xfId="16" applyNumberFormat="1" applyFont="1" applyFill="1" applyBorder="1">
      <alignment/>
      <protection/>
    </xf>
    <xf numFmtId="0" fontId="2" fillId="0" borderId="83" xfId="17" applyBorder="1">
      <alignment/>
      <protection/>
    </xf>
    <xf numFmtId="0" fontId="2" fillId="0" borderId="78" xfId="17" applyBorder="1">
      <alignment/>
      <protection/>
    </xf>
    <xf numFmtId="0" fontId="2" fillId="0" borderId="80" xfId="17" applyBorder="1">
      <alignment/>
      <protection/>
    </xf>
    <xf numFmtId="1" fontId="3" fillId="0" borderId="86" xfId="17" applyNumberFormat="1" applyBorder="1">
      <alignment horizontal="center"/>
      <protection/>
    </xf>
    <xf numFmtId="1" fontId="3" fillId="0" borderId="8" xfId="17" applyNumberFormat="1" applyBorder="1">
      <alignment horizontal="center"/>
      <protection/>
    </xf>
    <xf numFmtId="1" fontId="3" fillId="0" borderId="88" xfId="17" applyNumberFormat="1" applyBorder="1">
      <alignment horizontal="center"/>
      <protection/>
    </xf>
    <xf numFmtId="1" fontId="3" fillId="0" borderId="17" xfId="17" applyNumberFormat="1" applyFill="1" applyBorder="1">
      <alignment horizontal="center"/>
      <protection/>
    </xf>
    <xf numFmtId="165" fontId="3" fillId="0" borderId="18" xfId="16" applyNumberFormat="1" applyFont="1" applyFill="1" applyBorder="1">
      <alignment/>
      <protection/>
    </xf>
    <xf numFmtId="165" fontId="3" fillId="0" borderId="0" xfId="16" applyNumberFormat="1" applyFont="1" applyFill="1" applyBorder="1">
      <alignment/>
      <protection/>
    </xf>
    <xf numFmtId="0" fontId="3" fillId="0" borderId="0" xfId="17" applyBorder="1">
      <alignment/>
      <protection/>
    </xf>
    <xf numFmtId="0" fontId="2" fillId="0" borderId="108" xfId="17" applyBorder="1">
      <alignment horizontal="center"/>
      <protection/>
    </xf>
    <xf numFmtId="0" fontId="3" fillId="0" borderId="29" xfId="17" applyBorder="1">
      <alignment horizontal="center"/>
      <protection/>
    </xf>
    <xf numFmtId="0" fontId="3" fillId="0" borderId="0" xfId="17" applyFill="1" applyBorder="1">
      <alignment/>
      <protection/>
    </xf>
    <xf numFmtId="0" fontId="3" fillId="0" borderId="8" xfId="17" applyFill="1" applyBorder="1">
      <alignment horizontal="center"/>
      <protection/>
    </xf>
    <xf numFmtId="1" fontId="3" fillId="0" borderId="8" xfId="17" applyNumberFormat="1" applyFill="1" applyBorder="1">
      <alignment horizontal="center"/>
      <protection/>
    </xf>
    <xf numFmtId="1" fontId="3" fillId="0" borderId="88" xfId="17" applyNumberFormat="1" applyFill="1" applyBorder="1">
      <alignment horizontal="center"/>
      <protection/>
    </xf>
    <xf numFmtId="0" fontId="2" fillId="0" borderId="27" xfId="17" applyFont="1" applyBorder="1" applyAlignment="1">
      <alignment horizontal="left"/>
      <protection/>
    </xf>
    <xf numFmtId="0" fontId="2" fillId="0" borderId="109" xfId="17" applyBorder="1">
      <alignment horizontal="center"/>
      <protection/>
    </xf>
    <xf numFmtId="0" fontId="3" fillId="0" borderId="43" xfId="17" applyFont="1" applyBorder="1">
      <alignment/>
      <protection/>
    </xf>
    <xf numFmtId="0" fontId="3" fillId="0" borderId="53" xfId="17" applyFont="1" applyFill="1" applyBorder="1" applyAlignment="1">
      <alignment horizontal="center" wrapText="1"/>
      <protection/>
    </xf>
    <xf numFmtId="165" fontId="3" fillId="0" borderId="50" xfId="16" applyNumberFormat="1" applyFont="1" applyBorder="1">
      <alignment/>
      <protection/>
    </xf>
    <xf numFmtId="0" fontId="3" fillId="0" borderId="0" xfId="17" applyBorder="1">
      <alignment/>
      <protection/>
    </xf>
    <xf numFmtId="1" fontId="3" fillId="0" borderId="0" xfId="17" applyNumberFormat="1" applyFill="1" applyBorder="1">
      <alignment horizontal="center"/>
      <protection/>
    </xf>
    <xf numFmtId="165" fontId="3" fillId="0" borderId="0" xfId="16" applyNumberFormat="1" applyFont="1" applyBorder="1">
      <alignment/>
      <protection/>
    </xf>
    <xf numFmtId="1" fontId="3" fillId="0" borderId="0" xfId="17" applyNumberFormat="1" applyBorder="1">
      <alignment horizontal="center"/>
      <protection/>
    </xf>
    <xf numFmtId="165" fontId="2" fillId="0" borderId="0" xfId="15" applyNumberFormat="1" applyBorder="1">
      <alignment horizontal="center"/>
      <protection/>
    </xf>
    <xf numFmtId="165" fontId="3" fillId="0" borderId="18" xfId="16" applyNumberFormat="1" applyFont="1" applyBorder="1">
      <alignment/>
      <protection/>
    </xf>
    <xf numFmtId="0" fontId="3" fillId="0" borderId="8" xfId="17" applyBorder="1">
      <alignment horizontal="center"/>
      <protection/>
    </xf>
    <xf numFmtId="0" fontId="2" fillId="0" borderId="8" xfId="17" applyBorder="1">
      <alignment horizontal="left"/>
      <protection/>
    </xf>
    <xf numFmtId="0" fontId="2" fillId="0" borderId="28" xfId="17" applyFont="1" applyBorder="1" applyAlignment="1">
      <alignment/>
      <protection/>
    </xf>
    <xf numFmtId="0" fontId="3" fillId="0" borderId="0" xfId="17" applyBorder="1">
      <alignment/>
      <protection/>
    </xf>
    <xf numFmtId="3" fontId="2" fillId="0" borderId="8" xfId="15" applyBorder="1">
      <alignment horizontal="center"/>
      <protection/>
    </xf>
    <xf numFmtId="0" fontId="0" fillId="0" borderId="0" xfId="0" applyAlignment="1">
      <alignment wrapText="1"/>
    </xf>
    <xf numFmtId="9" fontId="0" fillId="0" borderId="0" xfId="18" applyAlignment="1">
      <alignment wrapText="1"/>
      <protection/>
    </xf>
    <xf numFmtId="0" fontId="3" fillId="0" borderId="110" xfId="17" applyFont="1" applyBorder="1" quotePrefix="1">
      <alignment horizontal="center"/>
      <protection/>
    </xf>
    <xf numFmtId="0" fontId="3" fillId="0" borderId="0" xfId="17" applyFont="1" applyBorder="1">
      <alignment horizontal="center"/>
      <protection/>
    </xf>
    <xf numFmtId="0" fontId="3" fillId="0" borderId="71" xfId="17" applyFont="1" applyBorder="1">
      <alignment/>
      <protection/>
    </xf>
    <xf numFmtId="9" fontId="3" fillId="0" borderId="0" xfId="17" applyBorder="1">
      <alignment/>
      <protection/>
    </xf>
    <xf numFmtId="0" fontId="3" fillId="0" borderId="50" xfId="17" applyFont="1" applyBorder="1">
      <alignment horizontal="center"/>
      <protection/>
    </xf>
    <xf numFmtId="0" fontId="3" fillId="0" borderId="7" xfId="17" applyFont="1" applyBorder="1">
      <alignment/>
      <protection/>
    </xf>
    <xf numFmtId="3" fontId="3" fillId="0" borderId="10" xfId="15" applyBorder="1" applyAlignment="1">
      <alignment/>
      <protection/>
    </xf>
    <xf numFmtId="0" fontId="3" fillId="0" borderId="0" xfId="17" applyBorder="1">
      <alignment/>
      <protection/>
    </xf>
    <xf numFmtId="0" fontId="2" fillId="0" borderId="43" xfId="17" applyFont="1" applyBorder="1">
      <alignment/>
      <protection/>
    </xf>
    <xf numFmtId="165" fontId="3" fillId="0" borderId="18" xfId="17" applyNumberFormat="1" applyBorder="1">
      <alignment/>
      <protection/>
    </xf>
    <xf numFmtId="165" fontId="6" fillId="0" borderId="0" xfId="17" applyNumberFormat="1" applyFont="1" applyBorder="1">
      <alignment/>
      <protection/>
    </xf>
    <xf numFmtId="165" fontId="3" fillId="0" borderId="85" xfId="17" applyNumberFormat="1" applyBorder="1">
      <alignment/>
      <protection/>
    </xf>
    <xf numFmtId="165" fontId="6" fillId="0" borderId="111" xfId="17" applyNumberFormat="1" applyFont="1" applyBorder="1">
      <alignment/>
      <protection/>
    </xf>
    <xf numFmtId="165" fontId="3" fillId="0" borderId="11" xfId="0" applyNumberFormat="1" applyFont="1" applyBorder="1" applyAlignment="1">
      <alignment/>
    </xf>
    <xf numFmtId="0" fontId="3" fillId="0" borderId="17" xfId="17" applyFont="1" applyBorder="1" applyAlignment="1">
      <alignment horizontal="center" wrapText="1"/>
      <protection/>
    </xf>
    <xf numFmtId="0" fontId="3" fillId="0" borderId="64" xfId="17" applyFont="1" applyBorder="1" applyAlignment="1">
      <alignment horizontal="center" wrapText="1"/>
      <protection/>
    </xf>
    <xf numFmtId="0" fontId="6" fillId="0" borderId="64" xfId="17" applyFont="1" applyBorder="1" applyAlignment="1">
      <alignment horizontal="center" wrapText="1"/>
      <protection/>
    </xf>
    <xf numFmtId="0" fontId="3" fillId="0" borderId="6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12" xfId="0" applyFont="1" applyBorder="1" applyAlignment="1">
      <alignment/>
    </xf>
    <xf numFmtId="0" fontId="3" fillId="0" borderId="113" xfId="0" applyFont="1" applyBorder="1" applyAlignment="1">
      <alignment/>
    </xf>
    <xf numFmtId="0" fontId="3" fillId="0" borderId="114" xfId="0" applyFont="1" applyBorder="1" applyAlignment="1">
      <alignment/>
    </xf>
    <xf numFmtId="0" fontId="3" fillId="0" borderId="115" xfId="0" applyFont="1" applyBorder="1" applyAlignment="1">
      <alignment/>
    </xf>
    <xf numFmtId="0" fontId="2" fillId="0" borderId="45" xfId="17" applyFont="1" applyBorder="1">
      <alignment/>
      <protection/>
    </xf>
    <xf numFmtId="0" fontId="3" fillId="0" borderId="30" xfId="17" applyFont="1" applyBorder="1">
      <alignment horizontal="center"/>
      <protection/>
    </xf>
    <xf numFmtId="0" fontId="2" fillId="0" borderId="40" xfId="17" applyFont="1" applyBorder="1">
      <alignment/>
      <protection/>
    </xf>
    <xf numFmtId="0" fontId="2" fillId="0" borderId="116" xfId="17" applyFont="1" applyBorder="1">
      <alignment/>
      <protection/>
    </xf>
    <xf numFmtId="0" fontId="3" fillId="0" borderId="5" xfId="17" applyFont="1" applyBorder="1">
      <alignment/>
      <protection/>
    </xf>
    <xf numFmtId="0" fontId="3" fillId="0" borderId="4" xfId="17" applyFont="1" applyBorder="1" applyAlignment="1">
      <alignment horizontal="right"/>
      <protection/>
    </xf>
    <xf numFmtId="0" fontId="3" fillId="0" borderId="0" xfId="17" applyFont="1" applyBorder="1">
      <alignment/>
      <protection/>
    </xf>
    <xf numFmtId="0" fontId="2" fillId="0" borderId="0" xfId="17" applyFont="1" applyBorder="1">
      <alignment/>
      <protection/>
    </xf>
    <xf numFmtId="0" fontId="3" fillId="0" borderId="6" xfId="0" applyFont="1" applyBorder="1" applyAlignment="1">
      <alignment/>
    </xf>
    <xf numFmtId="0" fontId="3" fillId="0" borderId="84" xfId="17" applyBorder="1">
      <alignment horizontal="center"/>
      <protection/>
    </xf>
    <xf numFmtId="0" fontId="3" fillId="0" borderId="49" xfId="17" applyFont="1" applyBorder="1">
      <alignment/>
      <protection/>
    </xf>
    <xf numFmtId="0" fontId="3" fillId="0" borderId="49" xfId="17" applyBorder="1">
      <alignment/>
      <protection/>
    </xf>
    <xf numFmtId="0" fontId="3" fillId="0" borderId="50" xfId="17" applyFont="1" applyBorder="1">
      <alignment/>
      <protection/>
    </xf>
    <xf numFmtId="0" fontId="2" fillId="0" borderId="12" xfId="17" applyFont="1" applyBorder="1">
      <alignment/>
      <protection/>
    </xf>
    <xf numFmtId="0" fontId="3" fillId="0" borderId="117" xfId="0" applyFont="1" applyBorder="1" applyAlignment="1">
      <alignment wrapText="1"/>
    </xf>
    <xf numFmtId="0" fontId="3" fillId="0" borderId="118" xfId="0" applyFont="1" applyBorder="1" applyAlignment="1">
      <alignment wrapText="1"/>
    </xf>
    <xf numFmtId="0" fontId="3" fillId="0" borderId="94" xfId="0" applyFont="1" applyBorder="1" applyAlignment="1">
      <alignment wrapText="1"/>
    </xf>
    <xf numFmtId="1" fontId="3" fillId="0" borderId="0" xfId="17" applyFont="1" applyBorder="1">
      <alignment/>
      <protection/>
    </xf>
    <xf numFmtId="1" fontId="3" fillId="0" borderId="0" xfId="17" applyBorder="1">
      <alignment/>
      <protection/>
    </xf>
    <xf numFmtId="0" fontId="3" fillId="0" borderId="0" xfId="17" applyFont="1" applyBorder="1">
      <alignment/>
      <protection/>
    </xf>
    <xf numFmtId="9" fontId="3" fillId="0" borderId="0" xfId="15" applyFont="1" applyBorder="1">
      <alignment/>
      <protection/>
    </xf>
    <xf numFmtId="1" fontId="3" fillId="0" borderId="17" xfId="17" applyNumberFormat="1" applyBorder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30" xfId="17" applyNumberFormat="1" applyFont="1" applyBorder="1">
      <alignment/>
      <protection/>
    </xf>
    <xf numFmtId="165" fontId="2" fillId="0" borderId="12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51" xfId="0" applyNumberFormat="1" applyFont="1" applyBorder="1" applyAlignment="1">
      <alignment/>
    </xf>
    <xf numFmtId="165" fontId="6" fillId="0" borderId="51" xfId="0" applyNumberFormat="1" applyFont="1" applyBorder="1" applyAlignment="1">
      <alignment/>
    </xf>
    <xf numFmtId="165" fontId="2" fillId="0" borderId="52" xfId="0" applyNumberFormat="1" applyFont="1" applyBorder="1" applyAlignment="1">
      <alignment/>
    </xf>
    <xf numFmtId="165" fontId="3" fillId="0" borderId="51" xfId="0" applyNumberFormat="1" applyFont="1" applyBorder="1" applyAlignment="1">
      <alignment/>
    </xf>
    <xf numFmtId="165" fontId="2" fillId="0" borderId="47" xfId="0" applyNumberFormat="1" applyFont="1" applyBorder="1" applyAlignment="1">
      <alignment/>
    </xf>
    <xf numFmtId="165" fontId="3" fillId="0" borderId="47" xfId="0" applyNumberFormat="1" applyFont="1" applyBorder="1" applyAlignment="1">
      <alignment/>
    </xf>
    <xf numFmtId="165" fontId="6" fillId="0" borderId="47" xfId="0" applyNumberFormat="1" applyFont="1" applyBorder="1" applyAlignment="1">
      <alignment/>
    </xf>
    <xf numFmtId="165" fontId="2" fillId="0" borderId="48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19" xfId="0" applyFont="1" applyBorder="1" applyAlignment="1">
      <alignment/>
    </xf>
    <xf numFmtId="0" fontId="2" fillId="0" borderId="0" xfId="0" applyFont="1" applyBorder="1" applyAlignment="1">
      <alignment/>
    </xf>
    <xf numFmtId="1" fontId="3" fillId="0" borderId="17" xfId="17" applyBorder="1">
      <alignment horizontal="center"/>
      <protection/>
    </xf>
    <xf numFmtId="3" fontId="3" fillId="0" borderId="18" xfId="15" applyBorder="1">
      <alignment horizontal="center"/>
      <protection/>
    </xf>
    <xf numFmtId="1" fontId="3" fillId="0" borderId="9" xfId="17" applyBorder="1">
      <alignment horizontal="center"/>
      <protection/>
    </xf>
    <xf numFmtId="3" fontId="3" fillId="0" borderId="10" xfId="15" applyBorder="1">
      <alignment horizontal="center"/>
      <protection/>
    </xf>
    <xf numFmtId="1" fontId="3" fillId="0" borderId="19" xfId="17" applyBorder="1">
      <alignment horizontal="center"/>
      <protection/>
    </xf>
    <xf numFmtId="1" fontId="3" fillId="0" borderId="86" xfId="17" applyBorder="1">
      <alignment horizontal="center"/>
      <protection/>
    </xf>
    <xf numFmtId="1" fontId="3" fillId="0" borderId="8" xfId="17" applyBorder="1">
      <alignment horizontal="center"/>
      <protection/>
    </xf>
    <xf numFmtId="1" fontId="3" fillId="0" borderId="88" xfId="17" applyBorder="1">
      <alignment horizontal="center"/>
      <protection/>
    </xf>
    <xf numFmtId="165" fontId="3" fillId="0" borderId="85" xfId="16" applyNumberFormat="1" applyFont="1" applyFill="1" applyBorder="1">
      <alignment/>
      <protection/>
    </xf>
    <xf numFmtId="165" fontId="3" fillId="0" borderId="107" xfId="17" applyNumberFormat="1" applyBorder="1">
      <alignment/>
      <protection/>
    </xf>
    <xf numFmtId="1" fontId="3" fillId="0" borderId="78" xfId="17" applyNumberFormat="1" applyFill="1" applyBorder="1">
      <alignment horizontal="center"/>
      <protection/>
    </xf>
    <xf numFmtId="1" fontId="3" fillId="0" borderId="80" xfId="17" applyNumberFormat="1" applyFill="1" applyBorder="1">
      <alignment horizontal="center"/>
      <protection/>
    </xf>
    <xf numFmtId="0" fontId="3" fillId="0" borderId="0" xfId="0" applyFont="1" applyBorder="1" applyAlignment="1" quotePrefix="1">
      <alignment/>
    </xf>
    <xf numFmtId="0" fontId="4" fillId="0" borderId="0" xfId="17" applyBorder="1">
      <alignment/>
      <protection/>
    </xf>
    <xf numFmtId="0" fontId="4" fillId="0" borderId="0" xfId="17" applyBorder="1">
      <alignment/>
      <protection/>
    </xf>
    <xf numFmtId="1" fontId="3" fillId="0" borderId="29" xfId="17" applyNumberFormat="1" applyBorder="1">
      <alignment horizontal="center"/>
      <protection/>
    </xf>
    <xf numFmtId="165" fontId="3" fillId="0" borderId="53" xfId="16" applyNumberFormat="1" applyFont="1" applyBorder="1">
      <alignment/>
      <protection/>
    </xf>
    <xf numFmtId="0" fontId="2" fillId="0" borderId="77" xfId="17" applyBorder="1">
      <alignment/>
      <protection/>
    </xf>
    <xf numFmtId="0" fontId="2" fillId="0" borderId="79" xfId="17" applyBorder="1">
      <alignment/>
      <protection/>
    </xf>
    <xf numFmtId="0" fontId="2" fillId="0" borderId="82" xfId="17" applyBorder="1">
      <alignment/>
      <protection/>
    </xf>
    <xf numFmtId="1" fontId="3" fillId="0" borderId="78" xfId="17" applyNumberFormat="1" applyFont="1" applyFill="1" applyBorder="1" applyAlignment="1">
      <alignment/>
      <protection/>
    </xf>
    <xf numFmtId="165" fontId="3" fillId="0" borderId="11" xfId="17" applyNumberFormat="1" applyBorder="1">
      <alignment/>
      <protection/>
    </xf>
    <xf numFmtId="0" fontId="0" fillId="0" borderId="75" xfId="0" applyBorder="1" applyAlignment="1">
      <alignment/>
    </xf>
    <xf numFmtId="0" fontId="0" fillId="0" borderId="79" xfId="0" applyBorder="1" applyAlignment="1">
      <alignment/>
    </xf>
    <xf numFmtId="0" fontId="3" fillId="0" borderId="78" xfId="17" applyBorder="1">
      <alignment horizontal="center"/>
      <protection/>
    </xf>
    <xf numFmtId="0" fontId="3" fillId="0" borderId="80" xfId="17" applyBorder="1">
      <alignment horizontal="center"/>
      <protection/>
    </xf>
    <xf numFmtId="0" fontId="3" fillId="0" borderId="117" xfId="17" applyFont="1" applyBorder="1">
      <alignment/>
      <protection/>
    </xf>
    <xf numFmtId="1" fontId="3" fillId="0" borderId="83" xfId="17" applyNumberFormat="1" applyBorder="1">
      <alignment horizontal="center"/>
      <protection/>
    </xf>
    <xf numFmtId="0" fontId="3" fillId="0" borderId="64" xfId="17" applyBorder="1">
      <alignment horizontal="center"/>
      <protection/>
    </xf>
    <xf numFmtId="1" fontId="3" fillId="0" borderId="78" xfId="17" applyNumberFormat="1" applyBorder="1">
      <alignment horizontal="center"/>
      <protection/>
    </xf>
    <xf numFmtId="1" fontId="3" fillId="0" borderId="80" xfId="17" applyNumberFormat="1" applyBorder="1">
      <alignment horizontal="center"/>
      <protection/>
    </xf>
    <xf numFmtId="1" fontId="3" fillId="0" borderId="120" xfId="17" applyNumberFormat="1" applyBorder="1">
      <alignment horizontal="center"/>
      <protection/>
    </xf>
    <xf numFmtId="165" fontId="3" fillId="0" borderId="105" xfId="16" applyNumberFormat="1" applyFont="1" applyBorder="1">
      <alignment/>
      <protection/>
    </xf>
    <xf numFmtId="1" fontId="3" fillId="0" borderId="120" xfId="17" applyNumberFormat="1" applyFill="1" applyBorder="1">
      <alignment horizontal="center"/>
      <protection/>
    </xf>
    <xf numFmtId="0" fontId="2" fillId="0" borderId="32" xfId="17" applyFont="1" applyBorder="1">
      <alignment/>
      <protection/>
    </xf>
    <xf numFmtId="165" fontId="3" fillId="0" borderId="0" xfId="0" applyNumberFormat="1" applyFont="1" applyBorder="1" applyAlignment="1">
      <alignment/>
    </xf>
    <xf numFmtId="165" fontId="2" fillId="0" borderId="75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46" xfId="17" applyFont="1" applyBorder="1">
      <alignment/>
      <protection/>
    </xf>
    <xf numFmtId="165" fontId="3" fillId="0" borderId="46" xfId="0" applyNumberFormat="1" applyFont="1" applyBorder="1" applyAlignment="1">
      <alignment/>
    </xf>
    <xf numFmtId="165" fontId="3" fillId="0" borderId="47" xfId="0" applyNumberFormat="1" applyFont="1" applyBorder="1" applyAlignment="1">
      <alignment horizontal="right"/>
    </xf>
    <xf numFmtId="165" fontId="3" fillId="0" borderId="46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3" fillId="0" borderId="9" xfId="17" applyNumberFormat="1" applyFont="1" applyBorder="1">
      <alignment/>
      <protection/>
    </xf>
    <xf numFmtId="165" fontId="3" fillId="0" borderId="10" xfId="0" applyNumberFormat="1" applyFont="1" applyBorder="1" applyAlignment="1">
      <alignment/>
    </xf>
    <xf numFmtId="0" fontId="2" fillId="0" borderId="121" xfId="17" applyFont="1" applyBorder="1">
      <alignment/>
      <protection/>
    </xf>
    <xf numFmtId="0" fontId="2" fillId="0" borderId="117" xfId="17" applyBorder="1">
      <alignment/>
      <protection/>
    </xf>
    <xf numFmtId="165" fontId="3" fillId="0" borderId="50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1" fontId="2" fillId="0" borderId="6" xfId="17" applyFont="1" applyBorder="1" applyAlignment="1">
      <alignment horizontal="center"/>
      <protection/>
    </xf>
    <xf numFmtId="165" fontId="3" fillId="0" borderId="5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17" applyFont="1" applyBorder="1">
      <alignment/>
      <protection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5" fontId="3" fillId="0" borderId="29" xfId="17" applyNumberFormat="1" applyFont="1" applyBorder="1">
      <alignment/>
      <protection/>
    </xf>
    <xf numFmtId="165" fontId="3" fillId="0" borderId="19" xfId="17" applyNumberFormat="1" applyFont="1" applyBorder="1">
      <alignment/>
      <protection/>
    </xf>
    <xf numFmtId="165" fontId="3" fillId="0" borderId="30" xfId="17" applyNumberFormat="1" applyFont="1" applyBorder="1">
      <alignment/>
      <protection/>
    </xf>
    <xf numFmtId="165" fontId="3" fillId="0" borderId="52" xfId="0" applyNumberFormat="1" applyFont="1" applyBorder="1" applyAlignment="1">
      <alignment/>
    </xf>
    <xf numFmtId="165" fontId="2" fillId="0" borderId="31" xfId="17" applyNumberFormat="1" applyFont="1" applyBorder="1">
      <alignment/>
      <protection/>
    </xf>
    <xf numFmtId="165" fontId="2" fillId="0" borderId="73" xfId="0" applyNumberFormat="1" applyFont="1" applyBorder="1" applyAlignment="1">
      <alignment/>
    </xf>
    <xf numFmtId="165" fontId="2" fillId="0" borderId="74" xfId="0" applyNumberFormat="1" applyFont="1" applyBorder="1" applyAlignment="1">
      <alignment/>
    </xf>
    <xf numFmtId="0" fontId="2" fillId="0" borderId="122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3" fillId="0" borderId="4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0" xfId="17" applyBorder="1">
      <alignment horizontal="right"/>
      <protection/>
    </xf>
    <xf numFmtId="3" fontId="3" fillId="0" borderId="0" xfId="17" applyBorder="1">
      <alignment horizontal="center"/>
      <protection/>
    </xf>
    <xf numFmtId="0" fontId="3" fillId="0" borderId="78" xfId="17" applyFont="1" applyBorder="1" applyAlignment="1">
      <alignment horizontal="left" wrapText="1"/>
      <protection/>
    </xf>
    <xf numFmtId="0" fontId="3" fillId="0" borderId="75" xfId="17" applyFont="1" applyBorder="1" applyAlignment="1">
      <alignment horizontal="left" wrapText="1"/>
      <protection/>
    </xf>
    <xf numFmtId="0" fontId="2" fillId="0" borderId="0" xfId="17">
      <alignment horizontal="center"/>
      <protection/>
    </xf>
    <xf numFmtId="3" fontId="3" fillId="0" borderId="0" xfId="15">
      <alignment horizontal="center"/>
      <protection/>
    </xf>
    <xf numFmtId="3" fontId="3" fillId="0" borderId="0" xfId="17" applyFill="1">
      <alignment horizontal="center"/>
      <protection/>
    </xf>
    <xf numFmtId="1" fontId="3" fillId="0" borderId="78" xfId="17" applyNumberFormat="1" applyFont="1" applyFill="1" applyBorder="1" applyAlignment="1">
      <alignment horizontal="right"/>
      <protection/>
    </xf>
    <xf numFmtId="1" fontId="3" fillId="0" borderId="75" xfId="17" applyNumberFormat="1" applyFont="1" applyFill="1" applyBorder="1" applyAlignment="1">
      <alignment horizontal="right"/>
      <protection/>
    </xf>
    <xf numFmtId="0" fontId="3" fillId="0" borderId="121" xfId="17" applyFont="1" applyBorder="1" applyAlignment="1">
      <alignment horizontal="center" wrapText="1"/>
      <protection/>
    </xf>
    <xf numFmtId="0" fontId="3" fillId="0" borderId="125" xfId="17" applyFont="1" applyBorder="1" applyAlignment="1">
      <alignment horizontal="center" wrapText="1"/>
      <protection/>
    </xf>
    <xf numFmtId="0" fontId="3" fillId="0" borderId="126" xfId="17" applyFont="1" applyBorder="1" applyAlignment="1">
      <alignment horizontal="center" wrapText="1"/>
      <protection/>
    </xf>
    <xf numFmtId="0" fontId="3" fillId="0" borderId="80" xfId="17" applyFont="1" applyBorder="1" applyAlignment="1">
      <alignment horizontal="center" wrapText="1"/>
      <protection/>
    </xf>
    <xf numFmtId="0" fontId="3" fillId="0" borderId="81" xfId="17" applyFont="1" applyBorder="1" applyAlignment="1">
      <alignment horizontal="center" wrapText="1"/>
      <protection/>
    </xf>
    <xf numFmtId="0" fontId="3" fillId="0" borderId="82" xfId="17" applyFont="1" applyBorder="1" applyAlignment="1">
      <alignment horizontal="center" wrapText="1"/>
      <protection/>
    </xf>
    <xf numFmtId="0" fontId="3" fillId="0" borderId="0" xfId="17" applyFont="1" applyBorder="1" applyAlignment="1">
      <alignment horizontal="left" wrapText="1"/>
      <protection/>
    </xf>
    <xf numFmtId="0" fontId="3" fillId="0" borderId="0" xfId="17" applyFont="1" applyBorder="1" applyAlignment="1" quotePrefix="1">
      <alignment horizontal="left" wrapText="1"/>
      <protection/>
    </xf>
    <xf numFmtId="0" fontId="3" fillId="0" borderId="0" xfId="17" applyFont="1" applyBorder="1" applyAlignment="1" quotePrefix="1">
      <alignment horizontal="left" wrapText="1"/>
      <protection/>
    </xf>
    <xf numFmtId="0" fontId="3" fillId="0" borderId="0" xfId="17" applyFont="1" applyBorder="1" applyAlignment="1" quotePrefix="1">
      <alignment horizontal="left" wrapText="1"/>
      <protection/>
    </xf>
  </cellXfs>
  <cellStyles count="7">
    <cellStyle name="Normal" xfId="0"/>
    <cellStyle name="Comma" xfId="15"/>
    <cellStyle name="Euro" xfId="16"/>
    <cellStyle name="Komma0" xfId="17"/>
    <cellStyle name="Percent" xfId="18"/>
    <cellStyle name="Currency" xfId="19"/>
    <cellStyle name="Währung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000000"/>
      <rgbColor rgb="00FF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23.421875" style="459" bestFit="1" customWidth="1"/>
    <col min="2" max="2" width="15.8515625" style="459" bestFit="1" customWidth="1"/>
    <col min="3" max="3" width="13.8515625" style="459" bestFit="1" customWidth="1"/>
    <col min="4" max="4" width="15.140625" style="459" bestFit="1" customWidth="1"/>
    <col min="5" max="7" width="13.8515625" style="459" bestFit="1" customWidth="1"/>
    <col min="8" max="16384" width="11.421875" style="459" customWidth="1"/>
  </cols>
  <sheetData>
    <row r="1" spans="1:3" s="461" customFormat="1" ht="15.75">
      <c r="A1" s="317" t="s">
        <v>216</v>
      </c>
      <c r="B1" s="523"/>
      <c r="C1" s="663"/>
    </row>
    <row r="2" spans="1:3" s="523" customFormat="1" ht="15.75" customHeight="1">
      <c r="A2" s="523" t="s">
        <v>217</v>
      </c>
      <c r="B2" s="725"/>
      <c r="C2" s="725"/>
    </row>
    <row r="3" spans="1:3" s="523" customFormat="1" ht="15.75" customHeight="1">
      <c r="A3" s="523" t="s">
        <v>218</v>
      </c>
      <c r="B3" s="725"/>
      <c r="C3" s="725"/>
    </row>
    <row r="4" s="523" customFormat="1" ht="15" customHeight="1" thickBot="1"/>
    <row r="5" spans="1:7" s="523" customFormat="1" ht="15" customHeight="1">
      <c r="A5" s="734" t="s">
        <v>219</v>
      </c>
      <c r="B5" s="735">
        <v>1</v>
      </c>
      <c r="C5" s="735">
        <v>2</v>
      </c>
      <c r="D5" s="735">
        <v>3</v>
      </c>
      <c r="E5" s="735">
        <v>4</v>
      </c>
      <c r="F5" s="735">
        <v>5</v>
      </c>
      <c r="G5" s="736">
        <v>6</v>
      </c>
    </row>
    <row r="6" spans="1:7" s="523" customFormat="1" ht="15" customHeight="1">
      <c r="A6" s="737" t="s">
        <v>212</v>
      </c>
      <c r="B6" s="731" t="s">
        <v>202</v>
      </c>
      <c r="C6" s="731" t="s">
        <v>203</v>
      </c>
      <c r="D6" s="731" t="s">
        <v>205</v>
      </c>
      <c r="E6" s="731" t="s">
        <v>205</v>
      </c>
      <c r="F6" s="731" t="s">
        <v>206</v>
      </c>
      <c r="G6" s="738" t="s">
        <v>206</v>
      </c>
    </row>
    <row r="7" spans="1:7" s="523" customFormat="1" ht="15" customHeight="1">
      <c r="A7" s="737" t="s">
        <v>215</v>
      </c>
      <c r="B7" s="732"/>
      <c r="C7" s="731" t="s">
        <v>204</v>
      </c>
      <c r="D7" s="731" t="s">
        <v>207</v>
      </c>
      <c r="E7" s="731"/>
      <c r="F7" s="731"/>
      <c r="G7" s="738"/>
    </row>
    <row r="8" spans="1:7" s="523" customFormat="1" ht="16.5" thickBot="1">
      <c r="A8" s="739" t="s">
        <v>213</v>
      </c>
      <c r="B8" s="740" t="s">
        <v>214</v>
      </c>
      <c r="C8" s="740" t="s">
        <v>208</v>
      </c>
      <c r="D8" s="740" t="s">
        <v>209</v>
      </c>
      <c r="E8" s="740" t="s">
        <v>209</v>
      </c>
      <c r="F8" s="740" t="s">
        <v>210</v>
      </c>
      <c r="G8" s="741" t="s">
        <v>211</v>
      </c>
    </row>
    <row r="9" spans="1:8" ht="21.75" customHeight="1">
      <c r="A9" s="729" t="s">
        <v>45</v>
      </c>
      <c r="B9" s="742">
        <f>Zusammenfassung!C11</f>
        <v>211265.87617874122</v>
      </c>
      <c r="C9" s="631">
        <f>Zusammenfassung!H11</f>
        <v>248731.57756045228</v>
      </c>
      <c r="D9" s="631">
        <f>Zusammenfassung!M11</f>
        <v>212562.52177081004</v>
      </c>
      <c r="E9" s="631">
        <f>Zusammenfassung!P11</f>
        <v>211265.87617874122</v>
      </c>
      <c r="F9" s="631">
        <f>Zusammenfassung!S11</f>
        <v>211265.87617874122</v>
      </c>
      <c r="G9" s="733">
        <f>Zusammenfassung!V11</f>
        <v>211265.87617874122</v>
      </c>
      <c r="H9" s="462"/>
    </row>
    <row r="10" spans="1:8" ht="21.75" customHeight="1">
      <c r="A10" s="585" t="s">
        <v>46</v>
      </c>
      <c r="B10" s="726">
        <f>Zusammenfassung!C12</f>
        <v>214428.89813035942</v>
      </c>
      <c r="C10" s="539">
        <f>Zusammenfassung!H12</f>
        <v>250634.4265571693</v>
      </c>
      <c r="D10" s="539">
        <f>Zusammenfassung!M12</f>
        <v>215377.34873996806</v>
      </c>
      <c r="E10" s="539">
        <f>Zusammenfassung!P12</f>
        <v>214428.89813035942</v>
      </c>
      <c r="F10" s="539">
        <f>Zusammenfassung!S12</f>
        <v>214428.89813035942</v>
      </c>
      <c r="G10" s="727">
        <f>Zusammenfassung!V12</f>
        <v>160715.01002283936</v>
      </c>
      <c r="H10" s="462"/>
    </row>
    <row r="11" spans="1:8" ht="21.75" customHeight="1">
      <c r="A11" s="585" t="s">
        <v>47</v>
      </c>
      <c r="B11" s="726">
        <f>Zusammenfassung!C13</f>
        <v>217797.5165088328</v>
      </c>
      <c r="C11" s="539">
        <f>Zusammenfassung!H13</f>
        <v>252651.960738673</v>
      </c>
      <c r="D11" s="539">
        <f>Zusammenfassung!M13</f>
        <v>218375.13946212135</v>
      </c>
      <c r="E11" s="539">
        <f>Zusammenfassung!P13</f>
        <v>194721.84798605004</v>
      </c>
      <c r="F11" s="539">
        <f>Zusammenfassung!S13</f>
        <v>194721.84798605</v>
      </c>
      <c r="G11" s="727">
        <f>Zusammenfassung!V13</f>
        <v>163376.5266743239</v>
      </c>
      <c r="H11" s="462"/>
    </row>
    <row r="12" spans="1:8" ht="21.75" customHeight="1">
      <c r="A12" s="585" t="s">
        <v>48</v>
      </c>
      <c r="B12" s="726">
        <f>Zusammenfassung!C14</f>
        <v>221385.09508190688</v>
      </c>
      <c r="C12" s="539">
        <f>Zusammenfassung!H14</f>
        <v>221415.31512874612</v>
      </c>
      <c r="D12" s="539">
        <f>Zusammenfassung!M14</f>
        <v>221567.7865812146</v>
      </c>
      <c r="E12" s="539">
        <f>Zusammenfassung!P14</f>
        <v>197914.4951051433</v>
      </c>
      <c r="F12" s="539">
        <f>Zusammenfassung!S14</f>
        <v>197914.4951051433</v>
      </c>
      <c r="G12" s="727">
        <f>Zusammenfassung!V14</f>
        <v>166211.04190815496</v>
      </c>
      <c r="H12" s="462"/>
    </row>
    <row r="13" spans="1:8" s="461" customFormat="1" ht="21.75" customHeight="1" thickBot="1">
      <c r="A13" s="728" t="s">
        <v>147</v>
      </c>
      <c r="B13" s="744">
        <f>Zusammenfassung!C15</f>
        <v>225205.86626223085</v>
      </c>
      <c r="C13" s="668">
        <f>Zusammenfassung!H15</f>
        <v>223133.2178424023</v>
      </c>
      <c r="D13" s="668">
        <f>Zusammenfassung!M15</f>
        <v>186039.96940646073</v>
      </c>
      <c r="E13" s="668">
        <f>Zusammenfassung!P15</f>
        <v>162386.6779303894</v>
      </c>
      <c r="F13" s="668">
        <f>Zusammenfassung!S15</f>
        <v>201314.66428697758</v>
      </c>
      <c r="G13" s="745">
        <f>Zusammenfassung!V15</f>
        <v>169229.800632185</v>
      </c>
      <c r="H13" s="663"/>
    </row>
    <row r="14" spans="1:7" s="523" customFormat="1" ht="21.75" customHeight="1" thickBot="1">
      <c r="A14" s="720" t="s">
        <v>160</v>
      </c>
      <c r="B14" s="746">
        <f>Zusammenfassung!C16</f>
        <v>1090083.2521620712</v>
      </c>
      <c r="C14" s="747">
        <f>Zusammenfassung!H16</f>
        <v>1196566.4978274428</v>
      </c>
      <c r="D14" s="747">
        <f>Zusammenfassung!M16</f>
        <v>1053922.7659605748</v>
      </c>
      <c r="E14" s="747">
        <f>Zusammenfassung!P16</f>
        <v>980717.7953306834</v>
      </c>
      <c r="F14" s="747">
        <f>Zusammenfassung!S16</f>
        <v>1019645.7816872715</v>
      </c>
      <c r="G14" s="748">
        <f>Zusammenfassung!V16</f>
        <v>870798.2554162445</v>
      </c>
    </row>
    <row r="15" spans="1:8" s="465" customFormat="1" ht="21.75" customHeight="1">
      <c r="A15" s="729" t="s">
        <v>49</v>
      </c>
      <c r="B15" s="742">
        <f>Zusammenfassung!C17</f>
        <v>248373.98207081106</v>
      </c>
      <c r="C15" s="631">
        <f>Zusammenfassung!H17</f>
        <v>232626.8411447074</v>
      </c>
      <c r="D15" s="631">
        <f>Zusammenfassung!M17</f>
        <v>203312.23889839646</v>
      </c>
      <c r="E15" s="631">
        <f>Zusammenfassung!P17</f>
        <v>179658.94742232515</v>
      </c>
      <c r="F15" s="631">
        <f>Zusammenfassung!S17</f>
        <v>221932.36413228046</v>
      </c>
      <c r="G15" s="733">
        <f>Zusammenfassung!V17</f>
        <v>187534.7313426812</v>
      </c>
      <c r="H15" s="664"/>
    </row>
    <row r="16" spans="1:8" ht="21.75" customHeight="1">
      <c r="A16" s="585" t="s">
        <v>50</v>
      </c>
      <c r="B16" s="726">
        <f>Zusammenfassung!C18</f>
        <v>323606.0467406005</v>
      </c>
      <c r="C16" s="539">
        <f>Zusammenfassung!H18</f>
        <v>263607.78637569223</v>
      </c>
      <c r="D16" s="539">
        <f>Zusammenfassung!M18</f>
        <v>259399.1691497597</v>
      </c>
      <c r="E16" s="539">
        <f>Zusammenfassung!P18</f>
        <v>235745.87767368834</v>
      </c>
      <c r="F16" s="539">
        <f>Zusammenfassung!S18</f>
        <v>288882.65654793254</v>
      </c>
      <c r="G16" s="727">
        <f>Zusammenfassung!V18</f>
        <v>246974.944019711</v>
      </c>
      <c r="H16" s="462"/>
    </row>
    <row r="17" spans="1:8" ht="21.75" customHeight="1">
      <c r="A17" s="585" t="s">
        <v>51</v>
      </c>
      <c r="B17" s="726">
        <f>Zusammenfassung!C19</f>
        <v>323606.0467406005</v>
      </c>
      <c r="C17" s="539">
        <f>Zusammenfassung!H19</f>
        <v>139253.31645704125</v>
      </c>
      <c r="D17" s="539">
        <f>Zusammenfassung!M19</f>
        <v>240745.87767368834</v>
      </c>
      <c r="E17" s="539">
        <f>Zusammenfassung!P19</f>
        <v>235745.87767368834</v>
      </c>
      <c r="F17" s="539">
        <f>Zusammenfassung!S19</f>
        <v>288882.65654793254</v>
      </c>
      <c r="G17" s="727">
        <f>Zusammenfassung!V19</f>
        <v>246974.944019711</v>
      </c>
      <c r="H17" s="462"/>
    </row>
    <row r="18" spans="1:8" ht="21.75" customHeight="1" thickBot="1">
      <c r="A18" s="586" t="s">
        <v>52</v>
      </c>
      <c r="B18" s="743">
        <f>Zusammenfassung!C20</f>
        <v>323606.0467406005</v>
      </c>
      <c r="C18" s="543">
        <f>Zusammenfassung!H20</f>
        <v>139253.31645704125</v>
      </c>
      <c r="D18" s="543">
        <f>Zusammenfassung!M20</f>
        <v>240745.87767368834</v>
      </c>
      <c r="E18" s="543">
        <f>Zusammenfassung!P20</f>
        <v>235745.87767368834</v>
      </c>
      <c r="F18" s="543">
        <f>Zusammenfassung!S20</f>
        <v>288882.65654793254</v>
      </c>
      <c r="G18" s="730">
        <f>Zusammenfassung!V20</f>
        <v>246974.944019711</v>
      </c>
      <c r="H18" s="462"/>
    </row>
    <row r="19" spans="1:7" ht="15">
      <c r="A19" s="465"/>
      <c r="B19" s="466"/>
      <c r="C19" s="465"/>
      <c r="D19" s="465"/>
      <c r="E19" s="465"/>
      <c r="F19" s="465"/>
      <c r="G19" s="465"/>
    </row>
    <row r="20" ht="15">
      <c r="B20" s="377"/>
    </row>
    <row r="21" ht="15">
      <c r="B21" s="377"/>
    </row>
    <row r="22" ht="15">
      <c r="B22" s="377"/>
    </row>
    <row r="23" ht="15">
      <c r="B23" s="377"/>
    </row>
    <row r="24" ht="15">
      <c r="B24" s="377"/>
    </row>
    <row r="25" ht="15">
      <c r="B25" s="377"/>
    </row>
    <row r="26" ht="15">
      <c r="B26" s="377"/>
    </row>
    <row r="27" ht="15">
      <c r="B27" s="377"/>
    </row>
  </sheetData>
  <printOptions/>
  <pageMargins left="0.16" right="0.16" top="1" bottom="1" header="0.4921259845" footer="0.4921259845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workbookViewId="0" topLeftCell="A4">
      <pane xSplit="1" topLeftCell="B1" activePane="topRight" state="frozen"/>
      <selection pane="topLeft" activeCell="N11" sqref="N11"/>
      <selection pane="topRight" activeCell="T4" sqref="T4:T6"/>
    </sheetView>
  </sheetViews>
  <sheetFormatPr defaultColWidth="11.421875" defaultRowHeight="12.75"/>
  <cols>
    <col min="1" max="1" width="23.421875" style="459" bestFit="1" customWidth="1"/>
    <col min="2" max="2" width="13.140625" style="459" customWidth="1"/>
    <col min="3" max="6" width="13.28125" style="459" customWidth="1"/>
    <col min="7" max="7" width="17.140625" style="459" bestFit="1" customWidth="1"/>
    <col min="8" max="8" width="14.00390625" style="459" customWidth="1"/>
    <col min="9" max="9" width="14.421875" style="459" customWidth="1"/>
    <col min="10" max="11" width="11.421875" style="459" customWidth="1"/>
    <col min="12" max="12" width="17.7109375" style="459" customWidth="1"/>
    <col min="13" max="13" width="14.57421875" style="459" customWidth="1"/>
    <col min="14" max="14" width="11.421875" style="459" customWidth="1"/>
    <col min="15" max="15" width="18.140625" style="459" customWidth="1"/>
    <col min="16" max="16" width="11.421875" style="459" customWidth="1"/>
    <col min="17" max="17" width="12.57421875" style="459" customWidth="1"/>
    <col min="18" max="18" width="18.57421875" style="459" customWidth="1"/>
    <col min="19" max="19" width="13.57421875" style="459" customWidth="1"/>
    <col min="20" max="20" width="11.421875" style="459" customWidth="1"/>
    <col min="21" max="21" width="18.421875" style="459" customWidth="1"/>
    <col min="22" max="22" width="14.57421875" style="459" customWidth="1"/>
    <col min="23" max="16384" width="11.421875" style="459" customWidth="1"/>
  </cols>
  <sheetData>
    <row r="1" spans="1:22" ht="15.75" customHeight="1" thickBot="1">
      <c r="A1" s="460"/>
      <c r="B1" s="676" t="s">
        <v>220</v>
      </c>
      <c r="C1" s="677"/>
      <c r="D1" s="752" t="s">
        <v>221</v>
      </c>
      <c r="E1" s="753"/>
      <c r="F1" s="753"/>
      <c r="G1" s="753"/>
      <c r="H1" s="754"/>
      <c r="I1" s="749" t="s">
        <v>222</v>
      </c>
      <c r="J1" s="750"/>
      <c r="K1" s="750"/>
      <c r="L1" s="750"/>
      <c r="M1" s="751"/>
      <c r="N1" s="749" t="s">
        <v>223</v>
      </c>
      <c r="O1" s="750"/>
      <c r="P1" s="751"/>
      <c r="Q1" s="749" t="s">
        <v>224</v>
      </c>
      <c r="R1" s="750"/>
      <c r="S1" s="751"/>
      <c r="T1" s="749" t="s">
        <v>225</v>
      </c>
      <c r="U1" s="750"/>
      <c r="V1" s="751"/>
    </row>
    <row r="2" spans="1:22" ht="15.75" customHeight="1" thickBot="1">
      <c r="A2" s="460"/>
      <c r="B2" s="676" t="s">
        <v>100</v>
      </c>
      <c r="C2" s="677"/>
      <c r="D2" s="752" t="s">
        <v>176</v>
      </c>
      <c r="E2" s="753"/>
      <c r="F2" s="753"/>
      <c r="G2" s="753"/>
      <c r="H2" s="754"/>
      <c r="I2" s="749" t="s">
        <v>178</v>
      </c>
      <c r="J2" s="750"/>
      <c r="K2" s="750"/>
      <c r="L2" s="750"/>
      <c r="M2" s="751"/>
      <c r="N2" s="749" t="s">
        <v>178</v>
      </c>
      <c r="O2" s="750"/>
      <c r="P2" s="751"/>
      <c r="Q2" s="749" t="s">
        <v>181</v>
      </c>
      <c r="R2" s="750"/>
      <c r="S2" s="751"/>
      <c r="T2" s="749" t="s">
        <v>181</v>
      </c>
      <c r="U2" s="750"/>
      <c r="V2" s="751"/>
    </row>
    <row r="3" spans="1:22" ht="15.75" customHeight="1">
      <c r="A3" s="460"/>
      <c r="B3" s="678"/>
      <c r="C3" s="679"/>
      <c r="D3" s="752" t="s">
        <v>177</v>
      </c>
      <c r="E3" s="753"/>
      <c r="F3" s="753"/>
      <c r="G3" s="753"/>
      <c r="H3" s="754"/>
      <c r="I3" s="749" t="s">
        <v>179</v>
      </c>
      <c r="J3" s="750"/>
      <c r="K3" s="750"/>
      <c r="L3" s="750"/>
      <c r="M3" s="751"/>
      <c r="N3" s="749" t="s">
        <v>180</v>
      </c>
      <c r="O3" s="750"/>
      <c r="P3" s="751"/>
      <c r="Q3" s="749" t="s">
        <v>199</v>
      </c>
      <c r="R3" s="750"/>
      <c r="S3" s="751"/>
      <c r="T3" s="749" t="s">
        <v>182</v>
      </c>
      <c r="U3" s="750"/>
      <c r="V3" s="751"/>
    </row>
    <row r="4" spans="1:22" ht="15" customHeight="1">
      <c r="A4" s="460"/>
      <c r="B4" s="468"/>
      <c r="C4" s="460"/>
      <c r="D4" s="755" t="s">
        <v>161</v>
      </c>
      <c r="E4" s="756"/>
      <c r="F4" s="756"/>
      <c r="G4" s="756"/>
      <c r="H4" s="757"/>
      <c r="I4" s="468" t="s">
        <v>164</v>
      </c>
      <c r="J4" s="469"/>
      <c r="K4" s="469"/>
      <c r="L4" s="469"/>
      <c r="M4" s="637"/>
      <c r="N4" s="468" t="s">
        <v>169</v>
      </c>
      <c r="O4" s="469"/>
      <c r="P4" s="637"/>
      <c r="Q4" s="468" t="s">
        <v>200</v>
      </c>
      <c r="R4" s="469"/>
      <c r="S4" s="637"/>
      <c r="T4" s="468" t="s">
        <v>173</v>
      </c>
      <c r="U4" s="469"/>
      <c r="V4" s="637"/>
    </row>
    <row r="5" spans="1:22" ht="15" customHeight="1">
      <c r="A5" s="460"/>
      <c r="B5" s="470"/>
      <c r="C5" s="460"/>
      <c r="D5" s="468" t="s">
        <v>162</v>
      </c>
      <c r="E5" s="469"/>
      <c r="F5" s="469"/>
      <c r="G5" s="469"/>
      <c r="H5" s="637"/>
      <c r="I5" s="468" t="s">
        <v>165</v>
      </c>
      <c r="J5" s="469"/>
      <c r="K5" s="469"/>
      <c r="L5" s="469"/>
      <c r="M5" s="637"/>
      <c r="N5" s="468" t="s">
        <v>170</v>
      </c>
      <c r="O5" s="469"/>
      <c r="P5" s="637"/>
      <c r="Q5" s="468"/>
      <c r="R5" s="469"/>
      <c r="S5" s="637"/>
      <c r="T5" s="468" t="s">
        <v>174</v>
      </c>
      <c r="U5" s="469"/>
      <c r="V5" s="637"/>
    </row>
    <row r="6" spans="1:22" ht="15" customHeight="1">
      <c r="A6" s="460"/>
      <c r="B6" s="471"/>
      <c r="C6" s="460"/>
      <c r="D6" s="755" t="s">
        <v>163</v>
      </c>
      <c r="E6" s="756"/>
      <c r="F6" s="756"/>
      <c r="G6" s="756"/>
      <c r="H6" s="757"/>
      <c r="I6" s="459" t="s">
        <v>167</v>
      </c>
      <c r="J6" s="469"/>
      <c r="K6" s="469"/>
      <c r="L6" s="469"/>
      <c r="M6" s="637"/>
      <c r="N6" s="468" t="s">
        <v>171</v>
      </c>
      <c r="O6" s="469"/>
      <c r="P6" s="637"/>
      <c r="Q6" s="468"/>
      <c r="R6" s="469"/>
      <c r="S6" s="637"/>
      <c r="T6" s="468" t="s">
        <v>175</v>
      </c>
      <c r="U6" s="469"/>
      <c r="V6" s="637"/>
    </row>
    <row r="7" spans="1:22" ht="16.5" thickBot="1">
      <c r="A7" s="122"/>
      <c r="B7" s="472"/>
      <c r="C7" s="531"/>
      <c r="D7" s="655"/>
      <c r="E7" s="656"/>
      <c r="F7" s="656"/>
      <c r="G7" s="656"/>
      <c r="H7" s="657"/>
      <c r="I7" s="638" t="s">
        <v>168</v>
      </c>
      <c r="J7" s="639"/>
      <c r="K7" s="639"/>
      <c r="L7" s="639"/>
      <c r="M7" s="640"/>
      <c r="N7" s="638" t="s">
        <v>172</v>
      </c>
      <c r="O7" s="639"/>
      <c r="P7" s="640"/>
      <c r="Q7" s="638"/>
      <c r="R7" s="639"/>
      <c r="S7" s="640"/>
      <c r="T7" s="638"/>
      <c r="U7" s="639"/>
      <c r="V7" s="640"/>
    </row>
    <row r="8" spans="1:23" ht="31.5">
      <c r="A8" s="463"/>
      <c r="B8" s="473" t="str">
        <f>Daten!V30</f>
        <v>lfd. Kosten</v>
      </c>
      <c r="C8" s="532" t="s">
        <v>117</v>
      </c>
      <c r="D8" s="545" t="s">
        <v>40</v>
      </c>
      <c r="E8" s="404" t="s">
        <v>118</v>
      </c>
      <c r="F8" s="537" t="s">
        <v>119</v>
      </c>
      <c r="G8" s="544" t="s">
        <v>123</v>
      </c>
      <c r="H8" s="522" t="s">
        <v>117</v>
      </c>
      <c r="I8" s="632" t="s">
        <v>40</v>
      </c>
      <c r="J8" s="633" t="s">
        <v>118</v>
      </c>
      <c r="K8" s="634" t="s">
        <v>119</v>
      </c>
      <c r="L8" s="635" t="s">
        <v>123</v>
      </c>
      <c r="M8" s="636" t="s">
        <v>117</v>
      </c>
      <c r="N8" s="632" t="s">
        <v>40</v>
      </c>
      <c r="O8" s="635" t="s">
        <v>123</v>
      </c>
      <c r="P8" s="636" t="s">
        <v>117</v>
      </c>
      <c r="Q8" s="632" t="s">
        <v>40</v>
      </c>
      <c r="R8" s="635" t="s">
        <v>123</v>
      </c>
      <c r="S8" s="636" t="s">
        <v>117</v>
      </c>
      <c r="T8" s="632" t="s">
        <v>40</v>
      </c>
      <c r="U8" s="635" t="s">
        <v>123</v>
      </c>
      <c r="V8" s="636" t="s">
        <v>117</v>
      </c>
      <c r="W8" s="462"/>
    </row>
    <row r="9" spans="1:23" ht="21.75" customHeight="1">
      <c r="A9" s="467" t="s">
        <v>43</v>
      </c>
      <c r="B9" s="474"/>
      <c r="C9" s="533"/>
      <c r="D9" s="540"/>
      <c r="E9" s="538"/>
      <c r="F9" s="524"/>
      <c r="G9" s="649"/>
      <c r="H9" s="546"/>
      <c r="I9" s="540"/>
      <c r="J9" s="538"/>
      <c r="K9" s="524"/>
      <c r="L9" s="535"/>
      <c r="M9" s="546"/>
      <c r="N9" s="540"/>
      <c r="O9" s="535"/>
      <c r="P9" s="546"/>
      <c r="Q9" s="717"/>
      <c r="R9" s="719"/>
      <c r="S9" s="718"/>
      <c r="T9" s="540"/>
      <c r="U9" s="535"/>
      <c r="V9" s="546"/>
      <c r="W9" s="462"/>
    </row>
    <row r="10" spans="1:23" ht="21.75" customHeight="1">
      <c r="A10" s="467" t="s">
        <v>44</v>
      </c>
      <c r="B10" s="474"/>
      <c r="C10" s="533"/>
      <c r="D10" s="540"/>
      <c r="E10" s="538"/>
      <c r="F10" s="524"/>
      <c r="G10" s="649"/>
      <c r="H10" s="546"/>
      <c r="I10" s="540"/>
      <c r="J10" s="538"/>
      <c r="K10" s="524"/>
      <c r="L10" s="535"/>
      <c r="M10" s="546"/>
      <c r="N10" s="540"/>
      <c r="O10" s="535"/>
      <c r="P10" s="546"/>
      <c r="Q10" s="717"/>
      <c r="R10" s="719"/>
      <c r="S10" s="718"/>
      <c r="T10" s="540"/>
      <c r="U10" s="535"/>
      <c r="V10" s="546"/>
      <c r="W10" s="462"/>
    </row>
    <row r="11" spans="1:23" ht="21.75" customHeight="1">
      <c r="A11" s="467" t="s">
        <v>45</v>
      </c>
      <c r="B11" s="474">
        <f>Daten!V35</f>
        <v>211265.87617874122</v>
      </c>
      <c r="C11" s="533">
        <f>B11</f>
        <v>211265.87617874122</v>
      </c>
      <c r="D11" s="541">
        <f>'K + Dneu'!D16+'K + Dneu'!H16+'K + Dneu'!K16</f>
        <v>139377.10764180124</v>
      </c>
      <c r="E11" s="539">
        <f>'K + Dneu'!L16</f>
        <v>124354.46991865101</v>
      </c>
      <c r="F11" s="524">
        <f>'K + Dneu'!M16</f>
        <v>48300</v>
      </c>
      <c r="G11" s="539">
        <v>-15000</v>
      </c>
      <c r="H11" s="475">
        <f>D11+E11+G11</f>
        <v>248731.57756045228</v>
      </c>
      <c r="I11" s="541">
        <f>'K + R_Auf + GL'!G17+'K + R_Auf + GL'!M17+'K + R_Auf + GL'!P17+'K + R_Auf + GL'!S17</f>
        <v>198909.23029473872</v>
      </c>
      <c r="J11" s="539">
        <f>'K + R_Auf + GL'!H17</f>
        <v>18653.291476071325</v>
      </c>
      <c r="K11" s="524">
        <f>'K + R_Auf + GL'!I17</f>
        <v>8325</v>
      </c>
      <c r="L11" s="464">
        <v>-5000</v>
      </c>
      <c r="M11" s="475">
        <f>I11+J11+L11</f>
        <v>212562.52177081004</v>
      </c>
      <c r="N11" s="541">
        <f>'K + R + GL'!D16+'K + R + GL'!G16+'K + R + GL'!K16+'K + R + GL'!N16+'K + R + GL'!Q16</f>
        <v>211265.87617874122</v>
      </c>
      <c r="O11" s="464"/>
      <c r="P11" s="475">
        <f>N11+O11</f>
        <v>211265.87617874122</v>
      </c>
      <c r="Q11" s="541">
        <f>'K + R + D + GL'!U14</f>
        <v>211265.87617874122</v>
      </c>
      <c r="R11" s="716"/>
      <c r="S11" s="475">
        <f>Q11+R11</f>
        <v>211265.87617874122</v>
      </c>
      <c r="T11" s="541">
        <f>'K + B + D + GL'!U14</f>
        <v>211265.87617874122</v>
      </c>
      <c r="U11" s="464"/>
      <c r="V11" s="475">
        <f>T11+U11</f>
        <v>211265.87617874122</v>
      </c>
      <c r="W11" s="462"/>
    </row>
    <row r="12" spans="1:23" ht="21.75" customHeight="1">
      <c r="A12" s="467" t="s">
        <v>46</v>
      </c>
      <c r="B12" s="474">
        <f>Daten!V36</f>
        <v>214428.89813035942</v>
      </c>
      <c r="C12" s="533">
        <f aca="true" t="shared" si="0" ref="C12:C20">B12</f>
        <v>214428.89813035942</v>
      </c>
      <c r="D12" s="541">
        <f>'K + Dneu'!D17+'K + Dneu'!H17+'K + Dneu'!K17</f>
        <v>141279.9566385183</v>
      </c>
      <c r="E12" s="539">
        <f>'K + Dneu'!L17</f>
        <v>124354.46991865101</v>
      </c>
      <c r="F12" s="524">
        <f>'K + Dneu'!M17</f>
        <v>48300</v>
      </c>
      <c r="G12" s="539">
        <v>-15000</v>
      </c>
      <c r="H12" s="475">
        <f>D12+E12+G12</f>
        <v>250634.4265571693</v>
      </c>
      <c r="I12" s="541">
        <f>'K + R_Auf + GL'!G18+'K + R_Auf + GL'!M18+'K + R_Auf + GL'!P18+'K + R_Auf + GL'!S18</f>
        <v>201724.05726389674</v>
      </c>
      <c r="J12" s="539">
        <f>'K + R_Auf + GL'!H18</f>
        <v>18653.291476071325</v>
      </c>
      <c r="K12" s="524">
        <f>'K + R_Auf + GL'!I18</f>
        <v>8325</v>
      </c>
      <c r="L12" s="464">
        <v>-5000</v>
      </c>
      <c r="M12" s="475">
        <f>I12+J12+L12</f>
        <v>215377.34873996806</v>
      </c>
      <c r="N12" s="541">
        <f>'K + R + GL'!D17+'K + R + GL'!G17+'K + R + GL'!K17+'K + R + GL'!N17+'K + R + GL'!Q17</f>
        <v>214428.89813035942</v>
      </c>
      <c r="O12" s="464"/>
      <c r="P12" s="475">
        <f aca="true" t="shared" si="1" ref="P12:P20">N12+O12</f>
        <v>214428.89813035942</v>
      </c>
      <c r="Q12" s="541">
        <f>'K + R + D + GL'!U15</f>
        <v>214428.89813035942</v>
      </c>
      <c r="R12" s="716"/>
      <c r="S12" s="475">
        <f aca="true" t="shared" si="2" ref="S12:S20">Q12+R12</f>
        <v>214428.89813035942</v>
      </c>
      <c r="T12" s="541">
        <f>'K + B + D + GL'!U15</f>
        <v>165715.01002283936</v>
      </c>
      <c r="U12" s="464">
        <v>-5000</v>
      </c>
      <c r="V12" s="475">
        <f aca="true" t="shared" si="3" ref="V12:V20">T12+U12</f>
        <v>160715.01002283936</v>
      </c>
      <c r="W12" s="462"/>
    </row>
    <row r="13" spans="1:23" ht="21.75" customHeight="1">
      <c r="A13" s="467" t="s">
        <v>47</v>
      </c>
      <c r="B13" s="474">
        <f>Daten!V37</f>
        <v>217797.5165088328</v>
      </c>
      <c r="C13" s="533">
        <f t="shared" si="0"/>
        <v>217797.5165088328</v>
      </c>
      <c r="D13" s="541">
        <f>'K + Dneu'!D18+'K + Dneu'!H18+'K + Dneu'!K18</f>
        <v>143297.490820022</v>
      </c>
      <c r="E13" s="539">
        <f>'K + Dneu'!L18</f>
        <v>124354.46991865101</v>
      </c>
      <c r="F13" s="524">
        <f>'K + Dneu'!M18</f>
        <v>48300</v>
      </c>
      <c r="G13" s="539">
        <v>-15000</v>
      </c>
      <c r="H13" s="475">
        <f>D13+E13+G13</f>
        <v>252651.960738673</v>
      </c>
      <c r="I13" s="541">
        <f>'K + R_Auf + GL'!G19+'K + R_Auf + GL'!M19+'K + R_Auf + GL'!P19+'K + R_Auf + GL'!S19</f>
        <v>204721.84798605004</v>
      </c>
      <c r="J13" s="539">
        <f>'K + R_Auf + GL'!H19</f>
        <v>18653.291476071325</v>
      </c>
      <c r="K13" s="524">
        <f>'K + R_Auf + GL'!I19</f>
        <v>8325</v>
      </c>
      <c r="L13" s="464">
        <v>-5000</v>
      </c>
      <c r="M13" s="475">
        <f>I13+J13+L13</f>
        <v>218375.13946212135</v>
      </c>
      <c r="N13" s="541">
        <f>'K + R + GL'!D18+'K + R + GL'!G18+'K + R + GL'!K18+'K + R + GL'!N18+'K + R + GL'!Q18</f>
        <v>199721.84798605004</v>
      </c>
      <c r="O13" s="464">
        <v>-5000</v>
      </c>
      <c r="P13" s="475">
        <f t="shared" si="1"/>
        <v>194721.84798605004</v>
      </c>
      <c r="Q13" s="541">
        <f>'K + R + D + GL'!U16</f>
        <v>199721.84798605</v>
      </c>
      <c r="R13" s="464">
        <v>-5000</v>
      </c>
      <c r="S13" s="475">
        <f t="shared" si="2"/>
        <v>194721.84798605</v>
      </c>
      <c r="T13" s="541">
        <f>'K + B + D + GL'!U16</f>
        <v>168376.5266743239</v>
      </c>
      <c r="U13" s="464">
        <v>-5000</v>
      </c>
      <c r="V13" s="475">
        <f t="shared" si="3"/>
        <v>163376.5266743239</v>
      </c>
      <c r="W13" s="462"/>
    </row>
    <row r="14" spans="1:23" ht="21.75" customHeight="1">
      <c r="A14" s="467" t="s">
        <v>48</v>
      </c>
      <c r="B14" s="474">
        <f>Daten!V38</f>
        <v>221385.09508190688</v>
      </c>
      <c r="C14" s="533">
        <f t="shared" si="0"/>
        <v>221385.09508190688</v>
      </c>
      <c r="D14" s="541">
        <f>'K + Dneu'!D19+'K + Dneu'!H19+'K + Dneu'!K19</f>
        <v>112060.84521009511</v>
      </c>
      <c r="E14" s="539">
        <f>'K + Dneu'!L19</f>
        <v>124354.46991865101</v>
      </c>
      <c r="F14" s="524">
        <f>'K + Dneu'!M19</f>
        <v>48300</v>
      </c>
      <c r="G14" s="539">
        <v>-15000</v>
      </c>
      <c r="H14" s="475">
        <f>D14+E14+G14</f>
        <v>221415.31512874612</v>
      </c>
      <c r="I14" s="541">
        <f>'K + R_Auf + GL'!G20+'K + R_Auf + GL'!M20+'K + R_Auf + GL'!P20+'K + R_Auf + GL'!S20</f>
        <v>207914.4951051433</v>
      </c>
      <c r="J14" s="539">
        <f>'K + R_Auf + GL'!H20</f>
        <v>18653.291476071325</v>
      </c>
      <c r="K14" s="524">
        <f>'K + R_Auf + GL'!I20</f>
        <v>8325</v>
      </c>
      <c r="L14" s="464">
        <v>-5000</v>
      </c>
      <c r="M14" s="475">
        <f>I14+J14+L14</f>
        <v>221567.7865812146</v>
      </c>
      <c r="N14" s="541">
        <f>'K + R + GL'!D19+'K + R + GL'!G19+'K + R + GL'!K19+'K + R + GL'!N19+'K + R + GL'!Q19</f>
        <v>202914.4951051433</v>
      </c>
      <c r="O14" s="464">
        <v>-5000</v>
      </c>
      <c r="P14" s="475">
        <f t="shared" si="1"/>
        <v>197914.4951051433</v>
      </c>
      <c r="Q14" s="541">
        <f>'K + R + D + GL'!U17</f>
        <v>202914.4951051433</v>
      </c>
      <c r="R14" s="464">
        <v>-5000</v>
      </c>
      <c r="S14" s="475">
        <f t="shared" si="2"/>
        <v>197914.4951051433</v>
      </c>
      <c r="T14" s="541">
        <f>'K + B + D + GL'!U17</f>
        <v>171211.04190815496</v>
      </c>
      <c r="U14" s="464">
        <v>-5000</v>
      </c>
      <c r="V14" s="475">
        <f t="shared" si="3"/>
        <v>166211.04190815496</v>
      </c>
      <c r="W14" s="462"/>
    </row>
    <row r="15" spans="1:23" s="461" customFormat="1" ht="21.75" customHeight="1" thickBot="1">
      <c r="A15" s="654" t="s">
        <v>147</v>
      </c>
      <c r="B15" s="665">
        <f>Daten!V39</f>
        <v>225205.86626223085</v>
      </c>
      <c r="C15" s="666">
        <f t="shared" si="0"/>
        <v>225205.86626223085</v>
      </c>
      <c r="D15" s="542">
        <f>'K + Dneu'!D20+'K + Dneu'!H20+'K + Dneu'!K20</f>
        <v>113778.74792375129</v>
      </c>
      <c r="E15" s="543">
        <f>'K + Dneu'!L20</f>
        <v>124354.46991865101</v>
      </c>
      <c r="F15" s="527">
        <f>'K + Dneu'!M20</f>
        <v>48300</v>
      </c>
      <c r="G15" s="543">
        <v>-15000</v>
      </c>
      <c r="H15" s="477">
        <f>D15+E15+G15</f>
        <v>223133.2178424023</v>
      </c>
      <c r="I15" s="667">
        <f>'K + R_Auf + GL'!G21+'K + R_Auf + GL'!M21+'K + R_Auf + GL'!P21+'K + R_Auf + GL'!S21</f>
        <v>177386.6779303894</v>
      </c>
      <c r="J15" s="668">
        <f>'K + R_Auf + GL'!H21</f>
        <v>18653.291476071325</v>
      </c>
      <c r="K15" s="669">
        <f>'K + R_Auf + GL'!I21</f>
        <v>8325</v>
      </c>
      <c r="L15" s="671">
        <v>-10000</v>
      </c>
      <c r="M15" s="670">
        <f>I15+J15+L15</f>
        <v>186039.96940646073</v>
      </c>
      <c r="N15" s="667">
        <f>'K + R + GL'!D20+'K + R + GL'!G20+'K + R + GL'!K20+'K + R + GL'!N20+'K + R + GL'!Q20</f>
        <v>172386.6779303894</v>
      </c>
      <c r="O15" s="671">
        <v>-10000</v>
      </c>
      <c r="P15" s="670">
        <f t="shared" si="1"/>
        <v>162386.6779303894</v>
      </c>
      <c r="Q15" s="542">
        <f>'K + R + D + GL'!U18</f>
        <v>206314.66428697758</v>
      </c>
      <c r="R15" s="476">
        <v>-5000</v>
      </c>
      <c r="S15" s="477">
        <f t="shared" si="2"/>
        <v>201314.66428697758</v>
      </c>
      <c r="T15" s="542">
        <f>'K + B + D + GL'!U18</f>
        <v>174229.800632185</v>
      </c>
      <c r="U15" s="476">
        <v>-5000</v>
      </c>
      <c r="V15" s="477">
        <f t="shared" si="3"/>
        <v>169229.800632185</v>
      </c>
      <c r="W15" s="663"/>
    </row>
    <row r="16" spans="1:22" s="523" customFormat="1" ht="21.75" customHeight="1" thickBot="1">
      <c r="A16" s="720" t="s">
        <v>160</v>
      </c>
      <c r="B16" s="723"/>
      <c r="C16" s="675">
        <f>SUM(C11:C15)</f>
        <v>1090083.2521620712</v>
      </c>
      <c r="D16" s="673"/>
      <c r="E16" s="673"/>
      <c r="F16" s="674"/>
      <c r="G16" s="722"/>
      <c r="H16" s="672">
        <f>SUM(H11:H15)</f>
        <v>1196566.4978274428</v>
      </c>
      <c r="I16" s="721"/>
      <c r="J16" s="673"/>
      <c r="K16" s="674"/>
      <c r="L16" s="722"/>
      <c r="M16" s="675">
        <f>SUM(M11:M15)</f>
        <v>1053922.7659605748</v>
      </c>
      <c r="N16" s="673"/>
      <c r="O16" s="722"/>
      <c r="P16" s="672">
        <f>SUM(P11:P15)</f>
        <v>980717.7953306834</v>
      </c>
      <c r="Q16" s="721"/>
      <c r="R16" s="722"/>
      <c r="S16" s="675">
        <f>SUM(S11:S15)</f>
        <v>1019645.7816872715</v>
      </c>
      <c r="T16" s="673"/>
      <c r="U16" s="722"/>
      <c r="V16" s="675">
        <f>SUM(V11:V15)</f>
        <v>870798.2554162445</v>
      </c>
    </row>
    <row r="17" spans="1:23" s="465" customFormat="1" ht="21.75" customHeight="1">
      <c r="A17" s="525" t="s">
        <v>49</v>
      </c>
      <c r="B17" s="528">
        <f>Daten!V41</f>
        <v>248373.98207081106</v>
      </c>
      <c r="C17" s="536">
        <f t="shared" si="0"/>
        <v>248373.98207081106</v>
      </c>
      <c r="D17" s="547">
        <f>'K + Dneu'!D22+'K + Dneu'!H22+'K + Dneu'!K22</f>
        <v>123272.37122605639</v>
      </c>
      <c r="E17" s="548">
        <f>'K + Dneu'!L22</f>
        <v>124354.46991865101</v>
      </c>
      <c r="F17" s="529">
        <f>'K + Dneu'!M22</f>
        <v>48300</v>
      </c>
      <c r="G17" s="548">
        <v>-15000</v>
      </c>
      <c r="H17" s="530">
        <f>D17+E17+G17</f>
        <v>232626.8411447074</v>
      </c>
      <c r="I17" s="547">
        <f>'K + R_Auf + GL'!G23+'K + R_Auf + GL'!M23+'K + R_Auf + GL'!P23+'K + R_Auf + GL'!S23</f>
        <v>194658.94742232515</v>
      </c>
      <c r="J17" s="548">
        <f>'K + R_Auf + GL'!H23</f>
        <v>18653.291476071325</v>
      </c>
      <c r="K17" s="529">
        <f>'K + R_Auf + GL'!I23</f>
        <v>8325</v>
      </c>
      <c r="L17" s="549">
        <v>-10000</v>
      </c>
      <c r="M17" s="530">
        <f>I17+J17+L17</f>
        <v>203312.23889839646</v>
      </c>
      <c r="N17" s="547">
        <f>'K + R + GL'!D22+'K + R + GL'!G22+'K + R + GL'!K22+'K + R + GL'!N22+'K + R + GL'!Q22</f>
        <v>189658.94742232515</v>
      </c>
      <c r="O17" s="549">
        <v>-10000</v>
      </c>
      <c r="P17" s="530">
        <f t="shared" si="1"/>
        <v>179658.94742232515</v>
      </c>
      <c r="Q17" s="547">
        <f>'K + R + D + GL'!U20</f>
        <v>226932.36413228046</v>
      </c>
      <c r="R17" s="549">
        <v>-5000</v>
      </c>
      <c r="S17" s="530">
        <f t="shared" si="2"/>
        <v>221932.36413228046</v>
      </c>
      <c r="T17" s="547">
        <f>'K + B + D + GL'!U20</f>
        <v>192534.7313426812</v>
      </c>
      <c r="U17" s="549">
        <v>-5000</v>
      </c>
      <c r="V17" s="530">
        <f t="shared" si="3"/>
        <v>187534.7313426812</v>
      </c>
      <c r="W17" s="664"/>
    </row>
    <row r="18" spans="1:23" ht="21.75" customHeight="1">
      <c r="A18" s="467" t="s">
        <v>50</v>
      </c>
      <c r="B18" s="474">
        <f>Daten!V42</f>
        <v>323606.0467406005</v>
      </c>
      <c r="C18" s="533">
        <f t="shared" si="0"/>
        <v>323606.0467406005</v>
      </c>
      <c r="D18" s="541">
        <f>'K + Dneu'!D23+'K + Dneu'!H23+'K + Dneu'!K23</f>
        <v>154253.31645704125</v>
      </c>
      <c r="E18" s="539">
        <f>'K + Dneu'!L23</f>
        <v>124354.46991865101</v>
      </c>
      <c r="F18" s="524">
        <f>'K + Dneu'!M23</f>
        <v>48300</v>
      </c>
      <c r="G18" s="539">
        <v>-15000</v>
      </c>
      <c r="H18" s="475">
        <f>D18+E18+G18</f>
        <v>263607.78637569223</v>
      </c>
      <c r="I18" s="541">
        <f>'K + R_Auf + GL'!G24+'K + R_Auf + GL'!M24+'K + R_Auf + GL'!P24+'K + R_Auf + GL'!S24</f>
        <v>250745.87767368834</v>
      </c>
      <c r="J18" s="539">
        <f>'K + R_Auf + GL'!H24</f>
        <v>18653.291476071325</v>
      </c>
      <c r="K18" s="524">
        <f>'K + R_Auf + GL'!I24</f>
        <v>8325</v>
      </c>
      <c r="L18" s="464">
        <v>-10000</v>
      </c>
      <c r="M18" s="475">
        <f>I18+J18+L18</f>
        <v>259399.1691497597</v>
      </c>
      <c r="N18" s="541">
        <f>'K + R + GL'!D23+'K + R + GL'!G23+'K + R + GL'!K23+'K + R + GL'!N23+'K + R + GL'!Q23</f>
        <v>245745.87767368834</v>
      </c>
      <c r="O18" s="464">
        <v>-10000</v>
      </c>
      <c r="P18" s="475">
        <f t="shared" si="1"/>
        <v>235745.87767368834</v>
      </c>
      <c r="Q18" s="541">
        <f>'K + R + D + GL'!U21</f>
        <v>293882.65654793254</v>
      </c>
      <c r="R18" s="464">
        <v>-5000</v>
      </c>
      <c r="S18" s="475">
        <f t="shared" si="2"/>
        <v>288882.65654793254</v>
      </c>
      <c r="T18" s="541">
        <f>'K + B + D + GL'!U21</f>
        <v>251974.944019711</v>
      </c>
      <c r="U18" s="464">
        <v>-5000</v>
      </c>
      <c r="V18" s="475">
        <f t="shared" si="3"/>
        <v>246974.944019711</v>
      </c>
      <c r="W18" s="462"/>
    </row>
    <row r="19" spans="1:23" ht="21.75" customHeight="1">
      <c r="A19" s="467" t="s">
        <v>51</v>
      </c>
      <c r="B19" s="474">
        <f>Daten!V43</f>
        <v>323606.0467406005</v>
      </c>
      <c r="C19" s="533">
        <f t="shared" si="0"/>
        <v>323606.0467406005</v>
      </c>
      <c r="D19" s="541">
        <f>'K + Dneu'!D24+'K + Dneu'!H24+'K + Dneu'!K24</f>
        <v>154253.31645704125</v>
      </c>
      <c r="E19" s="539">
        <f>'K + Dneu'!L24</f>
        <v>0</v>
      </c>
      <c r="F19" s="524">
        <f>'K + Dneu'!M24</f>
        <v>48300</v>
      </c>
      <c r="G19" s="539">
        <v>-15000</v>
      </c>
      <c r="H19" s="475">
        <f>D19+E19+G19</f>
        <v>139253.31645704125</v>
      </c>
      <c r="I19" s="541">
        <f>'K + R_Auf + GL'!G25+'K + R_Auf + GL'!M25+'K + R_Auf + GL'!P25+'K + R_Auf + GL'!S25</f>
        <v>250745.87767368834</v>
      </c>
      <c r="J19" s="539">
        <f>'K + R_Auf + GL'!H25</f>
        <v>0</v>
      </c>
      <c r="K19" s="524">
        <f>'K + R_Auf + GL'!I25</f>
        <v>8325</v>
      </c>
      <c r="L19" s="464">
        <v>-10000</v>
      </c>
      <c r="M19" s="475">
        <f>I19+J20+L19</f>
        <v>240745.87767368834</v>
      </c>
      <c r="N19" s="541">
        <f>'K + R + GL'!D24+'K + R + GL'!G24+'K + R + GL'!K24+'K + R + GL'!N24+'K + R + GL'!Q24</f>
        <v>245745.87767368834</v>
      </c>
      <c r="O19" s="464">
        <v>-10000</v>
      </c>
      <c r="P19" s="475">
        <f t="shared" si="1"/>
        <v>235745.87767368834</v>
      </c>
      <c r="Q19" s="541">
        <f>'K + R + D + GL'!U22</f>
        <v>293882.65654793254</v>
      </c>
      <c r="R19" s="464">
        <v>-5000</v>
      </c>
      <c r="S19" s="475">
        <f t="shared" si="2"/>
        <v>288882.65654793254</v>
      </c>
      <c r="T19" s="541">
        <f>'K + B + D + GL'!U22</f>
        <v>251974.944019711</v>
      </c>
      <c r="U19" s="464">
        <v>-5000</v>
      </c>
      <c r="V19" s="475">
        <f t="shared" si="3"/>
        <v>246974.944019711</v>
      </c>
      <c r="W19" s="462"/>
    </row>
    <row r="20" spans="1:23" ht="21.75" customHeight="1" thickBot="1">
      <c r="A20" s="467" t="s">
        <v>52</v>
      </c>
      <c r="B20" s="526">
        <f>Daten!V44</f>
        <v>323606.0467406005</v>
      </c>
      <c r="C20" s="534">
        <f t="shared" si="0"/>
        <v>323606.0467406005</v>
      </c>
      <c r="D20" s="542">
        <f>'K + Dneu'!D25+'K + Dneu'!H25+'K + Dneu'!K25</f>
        <v>154253.31645704125</v>
      </c>
      <c r="E20" s="543">
        <f>'K + Dneu'!L25</f>
        <v>0</v>
      </c>
      <c r="F20" s="527">
        <f>'K + Dneu'!M25</f>
        <v>48300</v>
      </c>
      <c r="G20" s="543">
        <v>-15000</v>
      </c>
      <c r="H20" s="477">
        <f>D20+E20+G20</f>
        <v>139253.31645704125</v>
      </c>
      <c r="I20" s="542">
        <f>'K + R_Auf + GL'!G26+'K + R_Auf + GL'!M26+'K + R_Auf + GL'!P26+'K + R_Auf + GL'!S26</f>
        <v>250745.87767368834</v>
      </c>
      <c r="J20" s="543">
        <f>'K + R_Auf + GL'!H26</f>
        <v>0</v>
      </c>
      <c r="K20" s="527">
        <f>'K + R_Auf + GL'!I26</f>
        <v>8325</v>
      </c>
      <c r="L20" s="476">
        <v>-10000</v>
      </c>
      <c r="M20" s="477">
        <f>I20+J21+L20</f>
        <v>240745.87767368834</v>
      </c>
      <c r="N20" s="542">
        <f>'K + R + GL'!D25+'K + R + GL'!G25+'K + R + GL'!K25+'K + R + GL'!N25+'K + R + GL'!Q25</f>
        <v>245745.87767368834</v>
      </c>
      <c r="O20" s="476">
        <v>-10000</v>
      </c>
      <c r="P20" s="477">
        <f t="shared" si="1"/>
        <v>235745.87767368834</v>
      </c>
      <c r="Q20" s="542">
        <f>'K + R + D + GL'!U23</f>
        <v>293882.65654793254</v>
      </c>
      <c r="R20" s="476">
        <v>-5000</v>
      </c>
      <c r="S20" s="477">
        <f t="shared" si="2"/>
        <v>288882.65654793254</v>
      </c>
      <c r="T20" s="542">
        <f>'K + B + D + GL'!U23</f>
        <v>251974.944019711</v>
      </c>
      <c r="U20" s="476">
        <v>-5000</v>
      </c>
      <c r="V20" s="477">
        <f t="shared" si="3"/>
        <v>246974.944019711</v>
      </c>
      <c r="W20" s="462"/>
    </row>
    <row r="21" spans="1:22" ht="15">
      <c r="A21" s="465"/>
      <c r="B21" s="466"/>
      <c r="C21" s="465"/>
      <c r="D21" s="465"/>
      <c r="E21" s="465"/>
      <c r="F21" s="465"/>
      <c r="G21" s="465"/>
      <c r="H21" s="465"/>
      <c r="I21" s="724"/>
      <c r="J21" s="715"/>
      <c r="K21" s="664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</row>
    <row r="22" spans="2:10" ht="15">
      <c r="B22" s="377"/>
      <c r="J22" s="465"/>
    </row>
    <row r="23" ht="15">
      <c r="B23" s="377"/>
    </row>
    <row r="24" ht="15">
      <c r="B24" s="377"/>
    </row>
    <row r="25" ht="15">
      <c r="B25" s="377"/>
    </row>
    <row r="26" ht="15">
      <c r="B26" s="377"/>
    </row>
    <row r="27" ht="15">
      <c r="B27" s="377"/>
    </row>
    <row r="28" ht="15">
      <c r="B28" s="377"/>
    </row>
    <row r="29" ht="15">
      <c r="B29" s="377"/>
    </row>
  </sheetData>
  <mergeCells count="19">
    <mergeCell ref="D4:H4"/>
    <mergeCell ref="D6:H6"/>
    <mergeCell ref="D2:H2"/>
    <mergeCell ref="I1:M1"/>
    <mergeCell ref="D3:H3"/>
    <mergeCell ref="I3:M3"/>
    <mergeCell ref="N3:P3"/>
    <mergeCell ref="T3:V3"/>
    <mergeCell ref="Q3:S3"/>
    <mergeCell ref="T1:V1"/>
    <mergeCell ref="B2:C2"/>
    <mergeCell ref="B1:C1"/>
    <mergeCell ref="D1:H1"/>
    <mergeCell ref="I2:M2"/>
    <mergeCell ref="N1:P1"/>
    <mergeCell ref="Q1:S1"/>
    <mergeCell ref="N2:P2"/>
    <mergeCell ref="T2:V2"/>
    <mergeCell ref="Q2:S2"/>
  </mergeCells>
  <printOptions/>
  <pageMargins left="0.16" right="0.16" top="1" bottom="1" header="0.4921259845" footer="0.4921259845"/>
  <pageSetup fitToHeight="1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04"/>
  <sheetViews>
    <sheetView zoomScale="85" zoomScaleNormal="85" workbookViewId="0" topLeftCell="A82">
      <selection activeCell="A1" sqref="A1"/>
    </sheetView>
  </sheetViews>
  <sheetFormatPr defaultColWidth="11.421875" defaultRowHeight="12.75"/>
  <cols>
    <col min="1" max="1" width="26.57421875" style="1" customWidth="1"/>
    <col min="2" max="2" width="12.57421875" style="1" customWidth="1"/>
    <col min="3" max="3" width="12.421875" style="2" customWidth="1"/>
    <col min="4" max="4" width="12.28125" style="2" customWidth="1"/>
    <col min="5" max="6" width="11.57421875" style="2" customWidth="1"/>
    <col min="7" max="7" width="12.7109375" style="2" customWidth="1"/>
    <col min="8" max="8" width="12.421875" style="2" customWidth="1"/>
    <col min="9" max="9" width="14.140625" style="2" customWidth="1"/>
    <col min="10" max="10" width="11.7109375" style="2" customWidth="1"/>
    <col min="11" max="11" width="12.8515625" style="2" customWidth="1"/>
    <col min="12" max="12" width="12.7109375" style="2" customWidth="1"/>
    <col min="13" max="13" width="12.28125" style="2" customWidth="1"/>
    <col min="14" max="14" width="12.8515625" style="2" customWidth="1"/>
    <col min="15" max="15" width="13.140625" style="2" customWidth="1"/>
    <col min="16" max="16" width="12.7109375" style="2" customWidth="1"/>
    <col min="17" max="17" width="12.8515625" style="2" customWidth="1"/>
    <col min="18" max="18" width="15.00390625" style="2" customWidth="1"/>
    <col min="19" max="19" width="13.140625" style="2" customWidth="1"/>
    <col min="20" max="22" width="12.8515625" style="2" customWidth="1"/>
    <col min="23" max="23" width="14.28125" style="2" customWidth="1"/>
    <col min="24" max="24" width="12.7109375" style="2" customWidth="1"/>
    <col min="25" max="25" width="12.8515625" style="2" customWidth="1"/>
    <col min="26" max="26" width="14.00390625" style="2" customWidth="1"/>
    <col min="27" max="27" width="9.28125" style="2" customWidth="1"/>
    <col min="28" max="28" width="12.8515625" style="2" customWidth="1"/>
    <col min="29" max="29" width="14.00390625" style="2" customWidth="1"/>
    <col min="30" max="30" width="14.7109375" style="2" customWidth="1"/>
    <col min="31" max="31" width="11.421875" style="2" customWidth="1"/>
    <col min="32" max="32" width="13.8515625" style="2" customWidth="1"/>
    <col min="33" max="33" width="11.421875" style="2" customWidth="1"/>
    <col min="34" max="34" width="13.8515625" style="2" customWidth="1"/>
    <col min="35" max="37" width="14.7109375" style="2" customWidth="1"/>
    <col min="38" max="38" width="13.8515625" style="2" customWidth="1"/>
    <col min="39" max="39" width="14.7109375" style="2" customWidth="1"/>
    <col min="40" max="40" width="13.8515625" style="2" customWidth="1"/>
    <col min="41" max="41" width="14.7109375" style="2" customWidth="1"/>
    <col min="42" max="42" width="13.8515625" style="2" customWidth="1"/>
    <col min="43" max="43" width="15.57421875" style="2" customWidth="1"/>
    <col min="44" max="44" width="15.421875" style="2" customWidth="1"/>
    <col min="45" max="48" width="11.421875" style="2" customWidth="1"/>
    <col min="49" max="49" width="20.7109375" style="2" customWidth="1"/>
    <col min="50" max="50" width="14.7109375" style="2" customWidth="1"/>
    <col min="51" max="16384" width="11.421875" style="2" customWidth="1"/>
  </cols>
  <sheetData>
    <row r="1" spans="1:223" s="303" customFormat="1" ht="18">
      <c r="A1" s="245" t="s">
        <v>58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  <c r="EA1" s="302"/>
      <c r="EB1" s="302"/>
      <c r="EC1" s="302"/>
      <c r="ED1" s="302"/>
      <c r="EE1" s="302"/>
      <c r="EF1" s="302"/>
      <c r="EG1" s="302"/>
      <c r="EH1" s="302"/>
      <c r="EI1" s="302"/>
      <c r="EJ1" s="302"/>
      <c r="EK1" s="302"/>
      <c r="EL1" s="302"/>
      <c r="EM1" s="302"/>
      <c r="EN1" s="302"/>
      <c r="EO1" s="302"/>
      <c r="EP1" s="302"/>
      <c r="EQ1" s="302"/>
      <c r="ER1" s="302"/>
      <c r="ES1" s="302"/>
      <c r="ET1" s="302"/>
      <c r="EU1" s="302"/>
      <c r="EV1" s="302"/>
      <c r="EW1" s="302"/>
      <c r="EX1" s="302"/>
      <c r="EY1" s="302"/>
      <c r="EZ1" s="302"/>
      <c r="FA1" s="302"/>
      <c r="FB1" s="302"/>
      <c r="FC1" s="302"/>
      <c r="FD1" s="302"/>
      <c r="FE1" s="302"/>
      <c r="FF1" s="302"/>
      <c r="FG1" s="302"/>
      <c r="FH1" s="302"/>
      <c r="FI1" s="302"/>
      <c r="FJ1" s="302"/>
      <c r="FK1" s="302"/>
      <c r="FL1" s="302"/>
      <c r="FM1" s="302"/>
      <c r="FN1" s="302"/>
      <c r="FO1" s="302"/>
      <c r="FP1" s="302"/>
      <c r="FQ1" s="302"/>
      <c r="FR1" s="302"/>
      <c r="FS1" s="302"/>
      <c r="FT1" s="302"/>
      <c r="FU1" s="302"/>
      <c r="FV1" s="302"/>
      <c r="FW1" s="302"/>
      <c r="FX1" s="302"/>
      <c r="FY1" s="302"/>
      <c r="FZ1" s="302"/>
      <c r="GA1" s="302"/>
      <c r="GB1" s="302"/>
      <c r="GC1" s="302"/>
      <c r="GD1" s="302"/>
      <c r="GE1" s="302"/>
      <c r="GF1" s="302"/>
      <c r="GG1" s="302"/>
      <c r="GH1" s="302"/>
      <c r="GI1" s="302"/>
      <c r="GJ1" s="302"/>
      <c r="GK1" s="302"/>
      <c r="GL1" s="302"/>
      <c r="GM1" s="302"/>
      <c r="GN1" s="302"/>
      <c r="GO1" s="302"/>
      <c r="GP1" s="302"/>
      <c r="GQ1" s="302"/>
      <c r="GR1" s="302"/>
      <c r="GS1" s="302"/>
      <c r="GT1" s="302"/>
      <c r="GU1" s="302"/>
      <c r="GV1" s="302"/>
      <c r="GW1" s="302"/>
      <c r="GX1" s="302"/>
      <c r="GY1" s="302"/>
      <c r="GZ1" s="302"/>
      <c r="HA1" s="302"/>
      <c r="HB1" s="302"/>
      <c r="HC1" s="302"/>
      <c r="HD1" s="302"/>
      <c r="HE1" s="302"/>
      <c r="HF1" s="302"/>
      <c r="HG1" s="302"/>
      <c r="HH1" s="302"/>
      <c r="HI1" s="302"/>
      <c r="HJ1" s="302"/>
      <c r="HK1" s="302"/>
      <c r="HL1" s="302"/>
      <c r="HM1" s="302"/>
      <c r="HN1" s="302"/>
      <c r="HO1" s="302"/>
    </row>
    <row r="2" spans="2:44" ht="16.5" thickBo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6"/>
      <c r="U2" s="6"/>
      <c r="V2" s="6"/>
      <c r="W2" s="762"/>
      <c r="X2" s="762"/>
      <c r="Y2" s="762"/>
      <c r="Z2" s="762"/>
      <c r="AA2" s="762"/>
      <c r="AB2" s="762"/>
      <c r="AC2" s="6"/>
      <c r="AD2" s="762"/>
      <c r="AE2" s="762"/>
      <c r="AF2" s="762"/>
      <c r="AG2" s="762"/>
      <c r="AH2" s="762"/>
      <c r="AI2" s="762"/>
      <c r="AJ2" s="762"/>
      <c r="AK2" s="762"/>
      <c r="AL2" s="762"/>
      <c r="AM2" s="762"/>
      <c r="AN2" s="762"/>
      <c r="AO2" s="762"/>
      <c r="AP2" s="762"/>
      <c r="AQ2" s="762"/>
      <c r="AR2" s="762"/>
    </row>
    <row r="3" spans="1:223" ht="15.75">
      <c r="A3" s="47"/>
      <c r="B3" s="124" t="s">
        <v>28</v>
      </c>
      <c r="C3" s="125"/>
      <c r="D3" s="126"/>
      <c r="E3" s="124" t="s">
        <v>29</v>
      </c>
      <c r="F3" s="77"/>
      <c r="G3" s="114"/>
      <c r="H3" s="34" t="s">
        <v>21</v>
      </c>
      <c r="I3" s="37"/>
      <c r="J3" s="114"/>
      <c r="K3" s="34" t="s">
        <v>9</v>
      </c>
      <c r="L3" s="37"/>
      <c r="M3" s="114"/>
      <c r="N3" s="34" t="s">
        <v>30</v>
      </c>
      <c r="O3" s="37"/>
      <c r="P3" s="114"/>
      <c r="Q3" s="135"/>
      <c r="R3" s="37" t="s">
        <v>16</v>
      </c>
      <c r="S3" s="114"/>
      <c r="T3" s="130"/>
      <c r="U3" s="6"/>
      <c r="V3" s="6"/>
      <c r="W3" s="1"/>
      <c r="X3" s="1"/>
      <c r="Y3" s="1"/>
      <c r="Z3" s="1"/>
      <c r="AA3" s="1"/>
      <c r="AB3" s="1"/>
      <c r="AC3" s="6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</row>
    <row r="4" spans="1:29" ht="15.75">
      <c r="A4" s="47"/>
      <c r="B4" s="127"/>
      <c r="C4" s="66"/>
      <c r="D4" s="128"/>
      <c r="E4" s="129"/>
      <c r="F4" s="141"/>
      <c r="G4" s="41"/>
      <c r="H4" s="142"/>
      <c r="I4" s="25"/>
      <c r="J4" s="41"/>
      <c r="K4" s="142"/>
      <c r="L4" s="25"/>
      <c r="M4" s="41"/>
      <c r="N4" s="142"/>
      <c r="O4" s="25"/>
      <c r="P4" s="41"/>
      <c r="Q4" s="142"/>
      <c r="R4" s="25"/>
      <c r="S4" s="41"/>
      <c r="T4" s="30"/>
      <c r="AB4" s="6"/>
      <c r="AC4" s="6"/>
    </row>
    <row r="5" spans="1:44" ht="37.5" customHeight="1" thickBot="1">
      <c r="A5" s="115"/>
      <c r="B5" s="51" t="s">
        <v>11</v>
      </c>
      <c r="C5" s="42" t="s">
        <v>34</v>
      </c>
      <c r="D5" s="144" t="s">
        <v>14</v>
      </c>
      <c r="E5" s="51" t="s">
        <v>11</v>
      </c>
      <c r="F5" s="42" t="s">
        <v>34</v>
      </c>
      <c r="G5" s="144" t="s">
        <v>14</v>
      </c>
      <c r="H5" s="51" t="s">
        <v>11</v>
      </c>
      <c r="I5" s="42" t="s">
        <v>34</v>
      </c>
      <c r="J5" s="144" t="s">
        <v>14</v>
      </c>
      <c r="K5" s="51" t="s">
        <v>11</v>
      </c>
      <c r="L5" s="42" t="s">
        <v>34</v>
      </c>
      <c r="M5" s="144" t="s">
        <v>14</v>
      </c>
      <c r="N5" s="51" t="s">
        <v>11</v>
      </c>
      <c r="O5" s="42" t="s">
        <v>34</v>
      </c>
      <c r="P5" s="144" t="s">
        <v>14</v>
      </c>
      <c r="Q5" s="51" t="s">
        <v>11</v>
      </c>
      <c r="R5" s="42" t="s">
        <v>34</v>
      </c>
      <c r="S5" s="144" t="s">
        <v>14</v>
      </c>
      <c r="T5" s="130"/>
      <c r="U5" s="6"/>
      <c r="V5" s="6"/>
      <c r="W5" s="3"/>
      <c r="X5" s="3"/>
      <c r="Y5" s="3"/>
      <c r="Z5" s="3"/>
      <c r="AA5" s="3"/>
      <c r="AB5" s="6"/>
      <c r="AC5" s="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24.75" customHeight="1">
      <c r="A6" s="120" t="s">
        <v>41</v>
      </c>
      <c r="B6" s="51">
        <v>11</v>
      </c>
      <c r="C6" s="42"/>
      <c r="D6" s="144"/>
      <c r="E6" s="51">
        <v>20</v>
      </c>
      <c r="F6" s="42"/>
      <c r="G6" s="144"/>
      <c r="H6" s="51">
        <v>33</v>
      </c>
      <c r="I6" s="42"/>
      <c r="J6" s="144"/>
      <c r="K6" s="51">
        <v>41</v>
      </c>
      <c r="L6" s="42"/>
      <c r="M6" s="144"/>
      <c r="N6" s="51">
        <v>14</v>
      </c>
      <c r="O6" s="42"/>
      <c r="P6" s="144"/>
      <c r="Q6" s="54">
        <f aca="true" t="shared" si="0" ref="Q6:Q13">N6+K6+H6+E6+B6</f>
        <v>119</v>
      </c>
      <c r="R6" s="46"/>
      <c r="S6" s="144"/>
      <c r="T6" s="130"/>
      <c r="U6" s="6"/>
      <c r="V6" s="6"/>
      <c r="W6" s="3"/>
      <c r="X6" s="3"/>
      <c r="Y6" s="3"/>
      <c r="Z6" s="3"/>
      <c r="AA6" s="3"/>
      <c r="AB6" s="6"/>
      <c r="AC6" s="6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4.75" customHeight="1">
      <c r="A7" s="121" t="s">
        <v>42</v>
      </c>
      <c r="B7" s="51">
        <v>19</v>
      </c>
      <c r="C7" s="42"/>
      <c r="D7" s="144"/>
      <c r="E7" s="51">
        <v>32</v>
      </c>
      <c r="F7" s="42"/>
      <c r="G7" s="144"/>
      <c r="H7" s="51">
        <v>19</v>
      </c>
      <c r="I7" s="42"/>
      <c r="J7" s="144"/>
      <c r="K7" s="51">
        <v>39</v>
      </c>
      <c r="L7" s="42"/>
      <c r="M7" s="144"/>
      <c r="N7" s="51">
        <v>17</v>
      </c>
      <c r="O7" s="42"/>
      <c r="P7" s="144"/>
      <c r="Q7" s="54">
        <f t="shared" si="0"/>
        <v>126</v>
      </c>
      <c r="R7" s="46"/>
      <c r="S7" s="144"/>
      <c r="T7" s="130"/>
      <c r="U7" s="6"/>
      <c r="V7" s="6"/>
      <c r="W7" s="3"/>
      <c r="X7" s="3"/>
      <c r="Y7" s="3"/>
      <c r="Z7" s="3"/>
      <c r="AA7" s="3"/>
      <c r="AB7" s="6"/>
      <c r="AC7" s="6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35" ht="24.75" customHeight="1">
      <c r="A8" s="121" t="s">
        <v>43</v>
      </c>
      <c r="B8" s="54">
        <v>15</v>
      </c>
      <c r="C8" s="46">
        <v>61</v>
      </c>
      <c r="D8" s="144">
        <v>4</v>
      </c>
      <c r="E8" s="54">
        <v>26</v>
      </c>
      <c r="F8" s="46">
        <v>106</v>
      </c>
      <c r="G8" s="144">
        <v>6</v>
      </c>
      <c r="H8" s="54">
        <v>20</v>
      </c>
      <c r="I8" s="46">
        <v>104</v>
      </c>
      <c r="J8" s="144">
        <v>5</v>
      </c>
      <c r="K8" s="54">
        <v>25</v>
      </c>
      <c r="L8" s="46">
        <v>141</v>
      </c>
      <c r="M8" s="144">
        <v>6</v>
      </c>
      <c r="N8" s="54">
        <v>16</v>
      </c>
      <c r="O8" s="46">
        <v>67</v>
      </c>
      <c r="P8" s="144">
        <v>4</v>
      </c>
      <c r="Q8" s="54">
        <f t="shared" si="0"/>
        <v>102</v>
      </c>
      <c r="R8" s="46">
        <f aca="true" t="shared" si="1" ref="R8:S13">O8+L8+I8+F8+C8</f>
        <v>479</v>
      </c>
      <c r="S8" s="144">
        <f t="shared" si="1"/>
        <v>25</v>
      </c>
      <c r="T8" s="131"/>
      <c r="U8" s="10"/>
      <c r="V8" s="10"/>
      <c r="W8" s="3"/>
      <c r="X8" s="3"/>
      <c r="Y8" s="11"/>
      <c r="Z8" s="9"/>
      <c r="AA8" s="6"/>
      <c r="AB8" s="10"/>
      <c r="AC8" s="10"/>
      <c r="AD8" s="3"/>
      <c r="AE8" s="3"/>
      <c r="AF8" s="3"/>
      <c r="AG8" s="3"/>
      <c r="AH8" s="3"/>
      <c r="AI8" s="3"/>
    </row>
    <row r="9" spans="1:35" ht="24.75" customHeight="1">
      <c r="A9" s="121" t="s">
        <v>44</v>
      </c>
      <c r="B9" s="54">
        <v>14</v>
      </c>
      <c r="C9" s="46">
        <f aca="true" t="shared" si="2" ref="C9:C14">SUM(B6:B9)</f>
        <v>59</v>
      </c>
      <c r="D9" s="144">
        <v>4</v>
      </c>
      <c r="E9" s="54">
        <v>24</v>
      </c>
      <c r="F9" s="46">
        <f aca="true" t="shared" si="3" ref="F9:F14">SUM(E6:E9)</f>
        <v>102</v>
      </c>
      <c r="G9" s="144">
        <v>5</v>
      </c>
      <c r="H9" s="54">
        <v>21</v>
      </c>
      <c r="I9" s="46">
        <f aca="true" t="shared" si="4" ref="I9:I14">SUM(H6:H9)</f>
        <v>93</v>
      </c>
      <c r="J9" s="144">
        <v>5</v>
      </c>
      <c r="K9" s="54">
        <v>31</v>
      </c>
      <c r="L9" s="46">
        <f aca="true" t="shared" si="5" ref="L9:L14">SUM(K6:K9)</f>
        <v>136</v>
      </c>
      <c r="M9" s="144">
        <v>7</v>
      </c>
      <c r="N9" s="54">
        <v>20</v>
      </c>
      <c r="O9" s="46">
        <f aca="true" t="shared" si="6" ref="O9:O14">SUM(N6:N9)</f>
        <v>67</v>
      </c>
      <c r="P9" s="144">
        <v>4</v>
      </c>
      <c r="Q9" s="54">
        <f t="shared" si="0"/>
        <v>110</v>
      </c>
      <c r="R9" s="46">
        <f t="shared" si="1"/>
        <v>457</v>
      </c>
      <c r="S9" s="144">
        <f t="shared" si="1"/>
        <v>25</v>
      </c>
      <c r="T9" s="132"/>
      <c r="U9" s="16"/>
      <c r="V9" s="16"/>
      <c r="W9" s="3"/>
      <c r="X9" s="3"/>
      <c r="Y9" s="7"/>
      <c r="Z9" s="10"/>
      <c r="AA9" s="6"/>
      <c r="AB9" s="16"/>
      <c r="AC9" s="16"/>
      <c r="AD9" s="3"/>
      <c r="AE9" s="3"/>
      <c r="AF9" s="3"/>
      <c r="AG9" s="3"/>
      <c r="AH9" s="3"/>
      <c r="AI9" s="3"/>
    </row>
    <row r="10" spans="1:41" ht="24.75" customHeight="1">
      <c r="A10" s="121" t="s">
        <v>45</v>
      </c>
      <c r="B10" s="54">
        <v>13</v>
      </c>
      <c r="C10" s="46">
        <f t="shared" si="2"/>
        <v>61</v>
      </c>
      <c r="D10" s="144">
        <v>4</v>
      </c>
      <c r="E10" s="54">
        <v>15</v>
      </c>
      <c r="F10" s="46">
        <f t="shared" si="3"/>
        <v>97</v>
      </c>
      <c r="G10" s="144">
        <v>5</v>
      </c>
      <c r="H10" s="54">
        <v>16</v>
      </c>
      <c r="I10" s="46">
        <f t="shared" si="4"/>
        <v>76</v>
      </c>
      <c r="J10" s="144">
        <v>4</v>
      </c>
      <c r="K10" s="54">
        <v>29</v>
      </c>
      <c r="L10" s="46">
        <f t="shared" si="5"/>
        <v>124</v>
      </c>
      <c r="M10" s="144">
        <v>7</v>
      </c>
      <c r="N10" s="54">
        <v>12</v>
      </c>
      <c r="O10" s="46">
        <f t="shared" si="6"/>
        <v>65</v>
      </c>
      <c r="P10" s="144">
        <v>4</v>
      </c>
      <c r="Q10" s="54">
        <f t="shared" si="0"/>
        <v>85</v>
      </c>
      <c r="R10" s="46">
        <f t="shared" si="1"/>
        <v>423</v>
      </c>
      <c r="S10" s="144">
        <f t="shared" si="1"/>
        <v>24</v>
      </c>
      <c r="T10" s="132"/>
      <c r="U10" s="16"/>
      <c r="V10" s="16"/>
      <c r="W10" s="3"/>
      <c r="X10" s="3"/>
      <c r="Y10" s="7"/>
      <c r="Z10" s="3"/>
      <c r="AA10" s="3"/>
      <c r="AB10" s="10"/>
      <c r="AC10" s="10"/>
      <c r="AD10" s="3"/>
      <c r="AE10" s="3"/>
      <c r="AF10" s="3"/>
      <c r="AG10" s="3"/>
      <c r="AH10" s="19"/>
      <c r="AI10" s="19"/>
      <c r="AJ10" s="3"/>
      <c r="AK10" s="3"/>
      <c r="AL10" s="3"/>
      <c r="AM10" s="3"/>
      <c r="AN10" s="3"/>
      <c r="AO10" s="3"/>
    </row>
    <row r="11" spans="1:44" ht="24.75" customHeight="1">
      <c r="A11" s="121" t="s">
        <v>46</v>
      </c>
      <c r="B11" s="54">
        <v>10</v>
      </c>
      <c r="C11" s="46">
        <f t="shared" si="2"/>
        <v>52</v>
      </c>
      <c r="D11" s="145">
        <v>3</v>
      </c>
      <c r="E11" s="54">
        <v>21</v>
      </c>
      <c r="F11" s="46">
        <f t="shared" si="3"/>
        <v>86</v>
      </c>
      <c r="G11" s="144">
        <v>4</v>
      </c>
      <c r="H11" s="54">
        <v>18</v>
      </c>
      <c r="I11" s="46">
        <f t="shared" si="4"/>
        <v>75</v>
      </c>
      <c r="J11" s="144">
        <v>4</v>
      </c>
      <c r="K11" s="54">
        <v>25</v>
      </c>
      <c r="L11" s="46">
        <f t="shared" si="5"/>
        <v>110</v>
      </c>
      <c r="M11" s="144">
        <v>6</v>
      </c>
      <c r="N11" s="54">
        <v>9</v>
      </c>
      <c r="O11" s="46">
        <f t="shared" si="6"/>
        <v>57</v>
      </c>
      <c r="P11" s="145">
        <v>3</v>
      </c>
      <c r="Q11" s="54">
        <f t="shared" si="0"/>
        <v>83</v>
      </c>
      <c r="R11" s="46">
        <f t="shared" si="1"/>
        <v>380</v>
      </c>
      <c r="S11" s="144">
        <f t="shared" si="1"/>
        <v>20</v>
      </c>
      <c r="T11" s="133" t="s">
        <v>23</v>
      </c>
      <c r="U11" s="16"/>
      <c r="V11" s="16"/>
      <c r="W11" s="3"/>
      <c r="X11" s="3"/>
      <c r="Y11" s="7"/>
      <c r="Z11" s="3"/>
      <c r="AA11" s="3"/>
      <c r="AB11" s="10"/>
      <c r="AC11" s="10"/>
      <c r="AD11" s="3"/>
      <c r="AE11" s="3"/>
      <c r="AF11" s="19"/>
      <c r="AG11" s="19"/>
      <c r="AH11" s="19"/>
      <c r="AI11" s="19"/>
      <c r="AJ11" s="3"/>
      <c r="AK11" s="3"/>
      <c r="AL11" s="3"/>
      <c r="AM11" s="3"/>
      <c r="AN11" s="3"/>
      <c r="AO11" s="3"/>
      <c r="AP11" s="19"/>
      <c r="AQ11" s="19"/>
      <c r="AR11" s="19"/>
    </row>
    <row r="12" spans="1:44" ht="24.75" customHeight="1">
      <c r="A12" s="121" t="s">
        <v>47</v>
      </c>
      <c r="B12" s="54">
        <v>13</v>
      </c>
      <c r="C12" s="46">
        <f t="shared" si="2"/>
        <v>50</v>
      </c>
      <c r="D12" s="145">
        <v>3</v>
      </c>
      <c r="E12" s="54">
        <v>16</v>
      </c>
      <c r="F12" s="46">
        <f t="shared" si="3"/>
        <v>76</v>
      </c>
      <c r="G12" s="144">
        <v>4</v>
      </c>
      <c r="H12" s="54">
        <v>15</v>
      </c>
      <c r="I12" s="46">
        <f t="shared" si="4"/>
        <v>70</v>
      </c>
      <c r="J12" s="144">
        <v>4</v>
      </c>
      <c r="K12" s="54">
        <v>28</v>
      </c>
      <c r="L12" s="46">
        <f t="shared" si="5"/>
        <v>113</v>
      </c>
      <c r="M12" s="144">
        <v>6</v>
      </c>
      <c r="N12" s="54">
        <v>11</v>
      </c>
      <c r="O12" s="46">
        <f t="shared" si="6"/>
        <v>52</v>
      </c>
      <c r="P12" s="145">
        <v>3</v>
      </c>
      <c r="Q12" s="54">
        <f t="shared" si="0"/>
        <v>83</v>
      </c>
      <c r="R12" s="46">
        <f t="shared" si="1"/>
        <v>361</v>
      </c>
      <c r="S12" s="144">
        <f t="shared" si="1"/>
        <v>20</v>
      </c>
      <c r="T12" s="30" t="s">
        <v>0</v>
      </c>
      <c r="U12" s="16"/>
      <c r="V12" s="16"/>
      <c r="W12" s="3"/>
      <c r="X12" s="3"/>
      <c r="Y12" s="7"/>
      <c r="Z12" s="3"/>
      <c r="AA12" s="3"/>
      <c r="AB12" s="10"/>
      <c r="AC12" s="1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19"/>
      <c r="AQ12" s="19"/>
      <c r="AR12" s="19"/>
    </row>
    <row r="13" spans="1:44" ht="24.75" customHeight="1">
      <c r="A13" s="136" t="s">
        <v>48</v>
      </c>
      <c r="B13" s="148">
        <v>13</v>
      </c>
      <c r="C13" s="149">
        <f t="shared" si="2"/>
        <v>49</v>
      </c>
      <c r="D13" s="150">
        <v>2</v>
      </c>
      <c r="E13" s="642">
        <v>18</v>
      </c>
      <c r="F13" s="149">
        <f t="shared" si="3"/>
        <v>70</v>
      </c>
      <c r="G13" s="144">
        <v>4</v>
      </c>
      <c r="H13" s="148">
        <v>18</v>
      </c>
      <c r="I13" s="149">
        <f t="shared" si="4"/>
        <v>67</v>
      </c>
      <c r="J13" s="151">
        <v>4</v>
      </c>
      <c r="K13" s="148">
        <v>20</v>
      </c>
      <c r="L13" s="149">
        <f t="shared" si="5"/>
        <v>102</v>
      </c>
      <c r="M13" s="151">
        <v>5</v>
      </c>
      <c r="N13" s="148">
        <v>9</v>
      </c>
      <c r="O13" s="149">
        <f t="shared" si="6"/>
        <v>41</v>
      </c>
      <c r="P13" s="150">
        <v>2</v>
      </c>
      <c r="Q13" s="148">
        <f t="shared" si="0"/>
        <v>78</v>
      </c>
      <c r="R13" s="149">
        <f t="shared" si="1"/>
        <v>329</v>
      </c>
      <c r="S13" s="151">
        <f t="shared" si="1"/>
        <v>17</v>
      </c>
      <c r="T13" s="134">
        <v>86.45</v>
      </c>
      <c r="U13" s="16"/>
      <c r="V13" s="16"/>
      <c r="W13" s="3"/>
      <c r="X13" s="3"/>
      <c r="Y13" s="7"/>
      <c r="Z13" s="3"/>
      <c r="AA13" s="3"/>
      <c r="AB13" s="10"/>
      <c r="AC13" s="1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24.75" customHeight="1" thickBot="1">
      <c r="A14" s="641" t="s">
        <v>147</v>
      </c>
      <c r="B14" s="148">
        <v>11</v>
      </c>
      <c r="C14" s="149">
        <f t="shared" si="2"/>
        <v>47</v>
      </c>
      <c r="D14" s="150">
        <v>2</v>
      </c>
      <c r="E14" s="642">
        <v>10</v>
      </c>
      <c r="F14" s="149">
        <f t="shared" si="3"/>
        <v>65</v>
      </c>
      <c r="G14" s="144">
        <v>4</v>
      </c>
      <c r="H14" s="148">
        <v>10</v>
      </c>
      <c r="I14" s="149">
        <f t="shared" si="4"/>
        <v>61</v>
      </c>
      <c r="J14" s="151">
        <v>4</v>
      </c>
      <c r="K14" s="148">
        <v>25</v>
      </c>
      <c r="L14" s="149">
        <f t="shared" si="5"/>
        <v>98</v>
      </c>
      <c r="M14" s="151">
        <v>4</v>
      </c>
      <c r="N14" s="148">
        <v>8</v>
      </c>
      <c r="O14" s="149">
        <f t="shared" si="6"/>
        <v>37</v>
      </c>
      <c r="P14" s="150">
        <v>2</v>
      </c>
      <c r="Q14" s="148">
        <f>N14+K14+H14+E14+B14</f>
        <v>64</v>
      </c>
      <c r="R14" s="149">
        <f>O14+L14+I14+F14+C14</f>
        <v>308</v>
      </c>
      <c r="S14" s="151">
        <f>P14+M14+J14+G14+D14</f>
        <v>16</v>
      </c>
      <c r="T14" s="134"/>
      <c r="U14" s="16"/>
      <c r="V14" s="16"/>
      <c r="W14" s="3"/>
      <c r="X14" s="3"/>
      <c r="Y14" s="7"/>
      <c r="Z14" s="3"/>
      <c r="AA14" s="3"/>
      <c r="AB14" s="10"/>
      <c r="AC14" s="10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24.75" customHeight="1" thickBot="1">
      <c r="A15" s="138" t="s">
        <v>7</v>
      </c>
      <c r="B15" s="153"/>
      <c r="C15" s="139"/>
      <c r="D15" s="139"/>
      <c r="E15" s="154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34"/>
      <c r="U15" s="6"/>
      <c r="V15" s="6"/>
      <c r="W15" s="3"/>
      <c r="X15" s="3"/>
      <c r="Y15" s="3"/>
      <c r="Z15" s="3"/>
      <c r="AA15" s="3"/>
      <c r="AB15" s="10"/>
      <c r="AC15" s="10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24.75" customHeight="1">
      <c r="A16" s="480" t="s">
        <v>49</v>
      </c>
      <c r="B16" s="481">
        <f aca="true" t="shared" si="7" ref="B16:C19">B$14/$T$13*$T16</f>
        <v>10.459224985540775</v>
      </c>
      <c r="C16" s="482">
        <f t="shared" si="7"/>
        <v>44.68941584731058</v>
      </c>
      <c r="D16" s="483">
        <v>2</v>
      </c>
      <c r="E16" s="481">
        <f aca="true" t="shared" si="8" ref="E16:F19">E$14/$T$13*$T16</f>
        <v>9.508386350491612</v>
      </c>
      <c r="F16" s="482">
        <f t="shared" si="8"/>
        <v>61.804511278195484</v>
      </c>
      <c r="G16" s="490">
        <v>3</v>
      </c>
      <c r="H16" s="481">
        <f aca="true" t="shared" si="9" ref="H16:I19">H$14/$T$13*$T16</f>
        <v>9.508386350491612</v>
      </c>
      <c r="I16" s="482">
        <f t="shared" si="9"/>
        <v>58.00115673799885</v>
      </c>
      <c r="J16" s="490">
        <v>3</v>
      </c>
      <c r="K16" s="481">
        <f aca="true" t="shared" si="10" ref="K16:L19">K$14/$T$13*$T16</f>
        <v>23.770965876229035</v>
      </c>
      <c r="L16" s="482">
        <f t="shared" si="10"/>
        <v>93.18218623481782</v>
      </c>
      <c r="M16" s="484">
        <v>4</v>
      </c>
      <c r="N16" s="481">
        <f aca="true" t="shared" si="11" ref="N16:O19">N$14/$T$13*$T16</f>
        <v>7.606709080393291</v>
      </c>
      <c r="O16" s="482">
        <f t="shared" si="11"/>
        <v>35.18102949681897</v>
      </c>
      <c r="P16" s="483">
        <v>2</v>
      </c>
      <c r="Q16" s="481">
        <f aca="true" t="shared" si="12" ref="Q16:S19">N16+K16+H16+E16+B16</f>
        <v>60.853672643146325</v>
      </c>
      <c r="R16" s="482">
        <f t="shared" si="12"/>
        <v>292.8582995951417</v>
      </c>
      <c r="S16" s="484">
        <f t="shared" si="12"/>
        <v>14</v>
      </c>
      <c r="T16" s="134">
        <v>82.2</v>
      </c>
      <c r="U16" s="16"/>
      <c r="V16" s="16"/>
      <c r="W16" s="18"/>
      <c r="X16" s="18"/>
      <c r="Y16" s="7"/>
      <c r="Z16" s="18"/>
      <c r="AA16" s="18"/>
      <c r="AB16" s="10"/>
      <c r="AC16" s="10"/>
      <c r="AD16" s="18"/>
      <c r="AE16" s="18"/>
      <c r="AF16" s="18"/>
      <c r="AG16" s="18"/>
      <c r="AH16" s="18"/>
      <c r="AI16" s="18"/>
      <c r="AJ16" s="18"/>
      <c r="AK16" s="3"/>
      <c r="AL16" s="18"/>
      <c r="AM16" s="3"/>
      <c r="AN16" s="18"/>
      <c r="AO16" s="3"/>
      <c r="AP16" s="18"/>
      <c r="AQ16" s="3"/>
      <c r="AR16" s="3"/>
    </row>
    <row r="17" spans="1:44" ht="24.75" customHeight="1">
      <c r="A17" s="485" t="s">
        <v>50</v>
      </c>
      <c r="B17" s="486">
        <f t="shared" si="7"/>
        <v>10.052053209947946</v>
      </c>
      <c r="C17" s="487">
        <f t="shared" si="7"/>
        <v>42.94968189705031</v>
      </c>
      <c r="D17" s="488">
        <v>2</v>
      </c>
      <c r="E17" s="486">
        <f t="shared" si="8"/>
        <v>9.13823019086177</v>
      </c>
      <c r="F17" s="487">
        <f t="shared" si="8"/>
        <v>59.3984962406015</v>
      </c>
      <c r="G17" s="490">
        <v>3</v>
      </c>
      <c r="H17" s="486">
        <f t="shared" si="9"/>
        <v>9.13823019086177</v>
      </c>
      <c r="I17" s="487">
        <f t="shared" si="9"/>
        <v>55.743204164256795</v>
      </c>
      <c r="J17" s="490">
        <v>3</v>
      </c>
      <c r="K17" s="486">
        <f t="shared" si="10"/>
        <v>22.845575477154426</v>
      </c>
      <c r="L17" s="487">
        <f t="shared" si="10"/>
        <v>89.55465587044534</v>
      </c>
      <c r="M17" s="489">
        <v>4</v>
      </c>
      <c r="N17" s="486">
        <f t="shared" si="11"/>
        <v>7.310584152689415</v>
      </c>
      <c r="O17" s="487">
        <f t="shared" si="11"/>
        <v>33.81145170618855</v>
      </c>
      <c r="P17" s="488">
        <v>2</v>
      </c>
      <c r="Q17" s="486">
        <f t="shared" si="12"/>
        <v>58.48467322151532</v>
      </c>
      <c r="R17" s="487">
        <f t="shared" si="12"/>
        <v>281.4574898785425</v>
      </c>
      <c r="S17" s="489">
        <f t="shared" si="12"/>
        <v>14</v>
      </c>
      <c r="T17" s="134">
        <v>79</v>
      </c>
      <c r="U17" s="16"/>
      <c r="V17" s="16"/>
      <c r="W17" s="18"/>
      <c r="X17" s="18"/>
      <c r="Y17" s="7"/>
      <c r="Z17" s="18"/>
      <c r="AA17" s="18"/>
      <c r="AB17" s="10"/>
      <c r="AC17" s="10"/>
      <c r="AD17" s="18"/>
      <c r="AE17" s="18"/>
      <c r="AF17" s="18"/>
      <c r="AG17" s="18"/>
      <c r="AH17" s="18"/>
      <c r="AI17" s="18"/>
      <c r="AJ17" s="18"/>
      <c r="AK17" s="3"/>
      <c r="AL17" s="18"/>
      <c r="AM17" s="3"/>
      <c r="AN17" s="18"/>
      <c r="AO17" s="3"/>
      <c r="AP17" s="18"/>
      <c r="AQ17" s="3"/>
      <c r="AR17" s="3"/>
    </row>
    <row r="18" spans="1:44" ht="24.75" customHeight="1">
      <c r="A18" s="485" t="s">
        <v>51</v>
      </c>
      <c r="B18" s="486">
        <f t="shared" si="7"/>
        <v>8.830537883169463</v>
      </c>
      <c r="C18" s="487">
        <f t="shared" si="7"/>
        <v>37.73048004626952</v>
      </c>
      <c r="D18" s="488">
        <v>2</v>
      </c>
      <c r="E18" s="486">
        <f t="shared" si="8"/>
        <v>8.027761711972238</v>
      </c>
      <c r="F18" s="487">
        <f t="shared" si="8"/>
        <v>52.18045112781955</v>
      </c>
      <c r="G18" s="488">
        <v>2</v>
      </c>
      <c r="H18" s="486">
        <f t="shared" si="9"/>
        <v>8.027761711972238</v>
      </c>
      <c r="I18" s="487">
        <f t="shared" si="9"/>
        <v>48.96934644303066</v>
      </c>
      <c r="J18" s="488">
        <v>2</v>
      </c>
      <c r="K18" s="486">
        <f t="shared" si="10"/>
        <v>20.0694042799306</v>
      </c>
      <c r="L18" s="487">
        <f t="shared" si="10"/>
        <v>78.67206477732795</v>
      </c>
      <c r="M18" s="489">
        <v>4</v>
      </c>
      <c r="N18" s="486">
        <f t="shared" si="11"/>
        <v>6.422209369577791</v>
      </c>
      <c r="O18" s="487">
        <f t="shared" si="11"/>
        <v>29.702718334297284</v>
      </c>
      <c r="P18" s="488">
        <v>2</v>
      </c>
      <c r="Q18" s="486">
        <f t="shared" si="12"/>
        <v>51.37767495662233</v>
      </c>
      <c r="R18" s="487">
        <f t="shared" si="12"/>
        <v>247.25506072874498</v>
      </c>
      <c r="S18" s="489">
        <f t="shared" si="12"/>
        <v>12</v>
      </c>
      <c r="T18" s="134">
        <v>69.4</v>
      </c>
      <c r="U18" s="16"/>
      <c r="V18" s="16"/>
      <c r="W18" s="18"/>
      <c r="X18" s="18"/>
      <c r="Y18" s="7"/>
      <c r="Z18" s="18"/>
      <c r="AA18" s="18"/>
      <c r="AB18" s="10"/>
      <c r="AC18" s="10"/>
      <c r="AD18" s="18"/>
      <c r="AE18" s="18"/>
      <c r="AF18" s="18"/>
      <c r="AG18" s="18"/>
      <c r="AH18" s="18"/>
      <c r="AI18" s="18"/>
      <c r="AJ18" s="18"/>
      <c r="AK18" s="3"/>
      <c r="AL18" s="18"/>
      <c r="AM18" s="3"/>
      <c r="AN18" s="18"/>
      <c r="AO18" s="3"/>
      <c r="AP18" s="18"/>
      <c r="AQ18" s="3"/>
      <c r="AR18" s="3"/>
    </row>
    <row r="19" spans="1:44" ht="24.75" customHeight="1" thickBot="1">
      <c r="A19" s="491" t="s">
        <v>52</v>
      </c>
      <c r="B19" s="492">
        <f t="shared" si="7"/>
        <v>7.990746096009254</v>
      </c>
      <c r="C19" s="493">
        <f t="shared" si="7"/>
        <v>34.14227877385772</v>
      </c>
      <c r="D19" s="494">
        <v>2</v>
      </c>
      <c r="E19" s="492">
        <f t="shared" si="8"/>
        <v>7.264314632735684</v>
      </c>
      <c r="F19" s="493">
        <f t="shared" si="8"/>
        <v>47.21804511278195</v>
      </c>
      <c r="G19" s="494">
        <v>2</v>
      </c>
      <c r="H19" s="492">
        <f t="shared" si="9"/>
        <v>7.264314632735684</v>
      </c>
      <c r="I19" s="493">
        <f t="shared" si="9"/>
        <v>44.31231925968768</v>
      </c>
      <c r="J19" s="494">
        <v>2</v>
      </c>
      <c r="K19" s="492">
        <f t="shared" si="10"/>
        <v>18.16078658183921</v>
      </c>
      <c r="L19" s="493">
        <f t="shared" si="10"/>
        <v>71.19028340080972</v>
      </c>
      <c r="M19" s="495">
        <v>4</v>
      </c>
      <c r="N19" s="492">
        <f t="shared" si="11"/>
        <v>5.811451706188548</v>
      </c>
      <c r="O19" s="493">
        <f t="shared" si="11"/>
        <v>26.877964141122035</v>
      </c>
      <c r="P19" s="494">
        <v>1</v>
      </c>
      <c r="Q19" s="492">
        <f t="shared" si="12"/>
        <v>46.49161364950838</v>
      </c>
      <c r="R19" s="493">
        <f t="shared" si="12"/>
        <v>223.7408906882591</v>
      </c>
      <c r="S19" s="495">
        <f t="shared" si="12"/>
        <v>11</v>
      </c>
      <c r="T19" s="134">
        <v>62.8</v>
      </c>
      <c r="U19" s="16"/>
      <c r="V19" s="16"/>
      <c r="W19" s="18"/>
      <c r="X19" s="18"/>
      <c r="Y19" s="7"/>
      <c r="Z19" s="18"/>
      <c r="AA19" s="18"/>
      <c r="AB19" s="10"/>
      <c r="AC19" s="10"/>
      <c r="AD19" s="18"/>
      <c r="AE19" s="18"/>
      <c r="AF19" s="18"/>
      <c r="AG19" s="18"/>
      <c r="AH19" s="18"/>
      <c r="AI19" s="18"/>
      <c r="AJ19" s="18"/>
      <c r="AK19" s="17"/>
      <c r="AL19" s="18"/>
      <c r="AM19" s="17"/>
      <c r="AN19" s="18"/>
      <c r="AO19" s="3"/>
      <c r="AP19" s="18"/>
      <c r="AQ19" s="3"/>
      <c r="AR19" s="3"/>
    </row>
    <row r="20" spans="1:29" ht="20.25" customHeight="1" thickBot="1">
      <c r="A20" s="187"/>
      <c r="B20" s="185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36"/>
      <c r="U20" s="36"/>
      <c r="V20" s="36"/>
      <c r="W20" s="36"/>
      <c r="X20" s="36"/>
      <c r="Y20" s="36"/>
      <c r="Z20" s="36"/>
      <c r="AA20" s="3"/>
      <c r="AB20" s="3"/>
      <c r="AC20" s="3"/>
    </row>
    <row r="21" spans="1:44" ht="20.25" customHeight="1" thickBot="1">
      <c r="A21" s="117" t="s">
        <v>2</v>
      </c>
      <c r="B21" s="120"/>
      <c r="C21" s="179"/>
      <c r="D21" s="180">
        <v>4</v>
      </c>
      <c r="E21" s="178"/>
      <c r="F21" s="179"/>
      <c r="G21" s="180">
        <v>6</v>
      </c>
      <c r="H21" s="178"/>
      <c r="I21" s="179"/>
      <c r="J21" s="180">
        <v>6</v>
      </c>
      <c r="K21" s="174" t="s">
        <v>139</v>
      </c>
      <c r="L21" s="169"/>
      <c r="M21" s="175" t="s">
        <v>140</v>
      </c>
      <c r="N21" s="174" t="s">
        <v>142</v>
      </c>
      <c r="O21" s="169"/>
      <c r="P21" s="618" t="s">
        <v>143</v>
      </c>
      <c r="Q21" s="178"/>
      <c r="R21" s="179"/>
      <c r="S21" s="190" t="s">
        <v>72</v>
      </c>
      <c r="T21" s="68"/>
      <c r="U21" s="63"/>
      <c r="V21" s="68"/>
      <c r="W21" s="66"/>
      <c r="X21" s="68"/>
      <c r="Y21" s="68"/>
      <c r="Z21" s="123"/>
      <c r="AA21" s="112"/>
      <c r="AB21" s="18"/>
      <c r="AC21" s="18"/>
      <c r="AE21" s="18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20.25" customHeight="1">
      <c r="A22" s="118" t="s">
        <v>4</v>
      </c>
      <c r="B22" s="121"/>
      <c r="C22" s="45"/>
      <c r="D22" s="181">
        <v>4</v>
      </c>
      <c r="E22" s="54"/>
      <c r="F22" s="46"/>
      <c r="G22" s="181">
        <v>5</v>
      </c>
      <c r="H22" s="54"/>
      <c r="I22" s="45"/>
      <c r="J22" s="181">
        <v>5</v>
      </c>
      <c r="K22" s="176" t="s">
        <v>139</v>
      </c>
      <c r="L22" s="170"/>
      <c r="M22" s="177" t="s">
        <v>141</v>
      </c>
      <c r="N22" s="174" t="s">
        <v>142</v>
      </c>
      <c r="O22" s="170"/>
      <c r="P22" s="618" t="s">
        <v>143</v>
      </c>
      <c r="Q22" s="54"/>
      <c r="R22" s="46"/>
      <c r="S22" s="191" t="s">
        <v>73</v>
      </c>
      <c r="T22" s="68"/>
      <c r="U22" s="63"/>
      <c r="V22" s="68"/>
      <c r="W22" s="68"/>
      <c r="X22" s="68"/>
      <c r="Y22" s="68"/>
      <c r="Z22" s="123"/>
      <c r="AA22" s="112"/>
      <c r="AB22" s="18"/>
      <c r="AC22" s="18"/>
      <c r="AE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29" ht="63.75" thickBot="1">
      <c r="A23" s="188" t="s">
        <v>1</v>
      </c>
      <c r="B23" s="186"/>
      <c r="C23" s="183"/>
      <c r="D23" s="184">
        <v>3</v>
      </c>
      <c r="E23" s="182"/>
      <c r="F23" s="183"/>
      <c r="G23" s="184">
        <v>4</v>
      </c>
      <c r="H23" s="182"/>
      <c r="I23" s="183"/>
      <c r="J23" s="184">
        <v>4</v>
      </c>
      <c r="K23" s="171"/>
      <c r="L23" s="172"/>
      <c r="M23" s="173">
        <v>9</v>
      </c>
      <c r="N23" s="171"/>
      <c r="O23" s="172"/>
      <c r="P23" s="189">
        <v>6.5</v>
      </c>
      <c r="Q23" s="182"/>
      <c r="R23" s="183"/>
      <c r="S23" s="147">
        <f>P23+11+J23+M23+G23+D23</f>
        <v>37.5</v>
      </c>
      <c r="T23" s="68"/>
      <c r="U23" s="63"/>
      <c r="V23" s="68"/>
      <c r="W23" s="68"/>
      <c r="X23" s="68"/>
      <c r="Y23" s="68"/>
      <c r="Z23" s="123"/>
      <c r="AA23" s="112"/>
      <c r="AB23" s="18"/>
      <c r="AC23" s="18"/>
    </row>
    <row r="24" spans="1:29" ht="15.75">
      <c r="A24" s="113"/>
      <c r="B24" s="113"/>
      <c r="C24" s="26"/>
      <c r="D24" s="26"/>
      <c r="E24" s="26"/>
      <c r="F24" s="26"/>
      <c r="G24" s="33"/>
      <c r="H24" s="33"/>
      <c r="I24" s="26"/>
      <c r="J24" s="26"/>
      <c r="K24" s="26"/>
      <c r="L24" s="26"/>
      <c r="M24" s="26"/>
      <c r="N24" s="33"/>
      <c r="O24" s="33"/>
      <c r="P24" s="33"/>
      <c r="Q24" s="26"/>
      <c r="R24" s="26"/>
      <c r="S24" s="26"/>
      <c r="T24" s="26"/>
      <c r="U24" s="26"/>
      <c r="V24" s="26"/>
      <c r="W24" s="113"/>
      <c r="X24" s="33"/>
      <c r="Y24" s="33"/>
      <c r="Z24" s="26"/>
      <c r="AB24" s="3"/>
      <c r="AC24" s="3"/>
    </row>
    <row r="25" spans="1:220" s="303" customFormat="1" ht="18">
      <c r="A25" s="245" t="s">
        <v>59</v>
      </c>
      <c r="B25" s="248"/>
      <c r="C25" s="247"/>
      <c r="D25" s="247"/>
      <c r="E25" s="247"/>
      <c r="F25" s="247"/>
      <c r="G25" s="249"/>
      <c r="H25" s="250"/>
      <c r="I25" s="247"/>
      <c r="J25" s="247"/>
      <c r="K25" s="247"/>
      <c r="L25" s="247"/>
      <c r="M25" s="247"/>
      <c r="N25" s="250"/>
      <c r="O25" s="250"/>
      <c r="P25" s="250"/>
      <c r="Q25" s="247"/>
      <c r="R25" s="247"/>
      <c r="S25" s="247"/>
      <c r="T25" s="247"/>
      <c r="U25" s="247"/>
      <c r="V25" s="247"/>
      <c r="W25" s="251"/>
      <c r="X25" s="250"/>
      <c r="Y25" s="247"/>
      <c r="Z25" s="764"/>
      <c r="AA25" s="764"/>
      <c r="AB25" s="304"/>
      <c r="AC25" s="304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  <c r="DK25" s="302"/>
      <c r="DL25" s="302"/>
      <c r="DM25" s="302"/>
      <c r="DN25" s="302"/>
      <c r="DO25" s="302"/>
      <c r="DP25" s="302"/>
      <c r="DQ25" s="302"/>
      <c r="DR25" s="302"/>
      <c r="DS25" s="302"/>
      <c r="DT25" s="302"/>
      <c r="DU25" s="302"/>
      <c r="DV25" s="302"/>
      <c r="DW25" s="302"/>
      <c r="DX25" s="302"/>
      <c r="DY25" s="302"/>
      <c r="DZ25" s="302"/>
      <c r="EA25" s="302"/>
      <c r="EB25" s="302"/>
      <c r="EC25" s="302"/>
      <c r="ED25" s="302"/>
      <c r="EE25" s="302"/>
      <c r="EF25" s="302"/>
      <c r="EG25" s="302"/>
      <c r="EH25" s="302"/>
      <c r="EI25" s="302"/>
      <c r="EJ25" s="302"/>
      <c r="EK25" s="302"/>
      <c r="EL25" s="302"/>
      <c r="EM25" s="302"/>
      <c r="EN25" s="302"/>
      <c r="EO25" s="302"/>
      <c r="EP25" s="302"/>
      <c r="EQ25" s="302"/>
      <c r="ER25" s="302"/>
      <c r="ES25" s="302"/>
      <c r="ET25" s="302"/>
      <c r="EU25" s="302"/>
      <c r="EV25" s="302"/>
      <c r="EW25" s="302"/>
      <c r="EX25" s="302"/>
      <c r="EY25" s="302"/>
      <c r="EZ25" s="302"/>
      <c r="FA25" s="302"/>
      <c r="FB25" s="302"/>
      <c r="FC25" s="302"/>
      <c r="FD25" s="302"/>
      <c r="FE25" s="302"/>
      <c r="FF25" s="302"/>
      <c r="FG25" s="302"/>
      <c r="FH25" s="302"/>
      <c r="FI25" s="302"/>
      <c r="FJ25" s="302"/>
      <c r="FK25" s="302"/>
      <c r="FL25" s="302"/>
      <c r="FM25" s="302"/>
      <c r="FN25" s="302"/>
      <c r="FO25" s="302"/>
      <c r="FP25" s="302"/>
      <c r="FQ25" s="302"/>
      <c r="FR25" s="302"/>
      <c r="FS25" s="302"/>
      <c r="FT25" s="302"/>
      <c r="FU25" s="302"/>
      <c r="FV25" s="302"/>
      <c r="FW25" s="302"/>
      <c r="FX25" s="302"/>
      <c r="FY25" s="302"/>
      <c r="FZ25" s="302"/>
      <c r="GA25" s="302"/>
      <c r="GB25" s="302"/>
      <c r="GC25" s="302"/>
      <c r="GD25" s="302"/>
      <c r="GE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</row>
    <row r="26" spans="1:29" ht="15.75">
      <c r="A26" s="511" t="s">
        <v>106</v>
      </c>
      <c r="F26" s="516">
        <f>0.09-0.025</f>
        <v>0.065</v>
      </c>
      <c r="G26" s="12"/>
      <c r="H26" s="3"/>
      <c r="N26" s="3"/>
      <c r="O26" s="3"/>
      <c r="P26" s="3"/>
      <c r="W26" s="1"/>
      <c r="X26" s="3"/>
      <c r="Y26" s="3"/>
      <c r="AC26" s="3"/>
    </row>
    <row r="27" spans="1:29" ht="16.5" thickBot="1">
      <c r="A27" s="2"/>
      <c r="B27" s="32"/>
      <c r="C27" s="25"/>
      <c r="D27" s="25"/>
      <c r="E27" s="25"/>
      <c r="F27" s="25"/>
      <c r="G27" s="167"/>
      <c r="H27" s="36"/>
      <c r="I27" s="25"/>
      <c r="J27" s="25"/>
      <c r="K27" s="25"/>
      <c r="L27" s="25"/>
      <c r="M27" s="25"/>
      <c r="N27" s="36"/>
      <c r="O27" s="36"/>
      <c r="P27" s="36"/>
      <c r="Q27" s="25"/>
      <c r="R27" s="25"/>
      <c r="S27" s="25"/>
      <c r="T27" s="25"/>
      <c r="U27" s="25"/>
      <c r="V27" s="25"/>
      <c r="W27" s="39"/>
      <c r="X27" s="36"/>
      <c r="Y27" s="36"/>
      <c r="AC27" s="3"/>
    </row>
    <row r="28" spans="1:220" ht="15.75">
      <c r="A28" s="47"/>
      <c r="B28" s="34" t="s">
        <v>28</v>
      </c>
      <c r="C28" s="37"/>
      <c r="D28" s="37"/>
      <c r="E28" s="114"/>
      <c r="F28" s="34" t="s">
        <v>29</v>
      </c>
      <c r="G28" s="37"/>
      <c r="H28" s="37"/>
      <c r="I28" s="114"/>
      <c r="J28" s="34" t="s">
        <v>21</v>
      </c>
      <c r="K28" s="37"/>
      <c r="L28" s="37"/>
      <c r="M28" s="114"/>
      <c r="N28" s="34" t="s">
        <v>9</v>
      </c>
      <c r="O28" s="37"/>
      <c r="P28" s="37"/>
      <c r="Q28" s="114"/>
      <c r="R28" s="34" t="s">
        <v>30</v>
      </c>
      <c r="S28" s="37"/>
      <c r="T28" s="37"/>
      <c r="U28" s="114"/>
      <c r="V28" s="34" t="s">
        <v>16</v>
      </c>
      <c r="W28" s="37"/>
      <c r="X28" s="37"/>
      <c r="Y28" s="114"/>
      <c r="Z28" s="762"/>
      <c r="AA28" s="762"/>
      <c r="AB28" s="762"/>
      <c r="AC28" s="762"/>
      <c r="AD28" s="762"/>
      <c r="AE28" s="762"/>
      <c r="AF28" s="762"/>
      <c r="AG28" s="762"/>
      <c r="AH28" s="762"/>
      <c r="AI28" s="6"/>
      <c r="AJ28" s="762"/>
      <c r="AK28" s="762"/>
      <c r="AL28" s="762"/>
      <c r="AM28" s="762"/>
      <c r="AN28" s="762"/>
      <c r="AO28" s="762"/>
      <c r="AP28" s="762"/>
      <c r="AQ28" s="762"/>
      <c r="AR28" s="762"/>
      <c r="AS28" s="762"/>
      <c r="AT28" s="762"/>
      <c r="AU28" s="762"/>
      <c r="AV28" s="762"/>
      <c r="AW28" s="762"/>
      <c r="AX28" s="762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35" ht="15.75">
      <c r="A29" s="47"/>
      <c r="B29" s="646" t="s">
        <v>148</v>
      </c>
      <c r="C29" s="647">
        <f>28*8*2+7*15</f>
        <v>553</v>
      </c>
      <c r="D29" s="25" t="s">
        <v>27</v>
      </c>
      <c r="E29" s="41"/>
      <c r="F29" s="646" t="s">
        <v>148</v>
      </c>
      <c r="G29" s="647">
        <f>22*27</f>
        <v>594</v>
      </c>
      <c r="H29" s="25" t="s">
        <v>27</v>
      </c>
      <c r="I29" s="41"/>
      <c r="J29" s="646" t="s">
        <v>148</v>
      </c>
      <c r="K29" s="647">
        <v>1100</v>
      </c>
      <c r="L29" s="25" t="s">
        <v>27</v>
      </c>
      <c r="M29" s="41"/>
      <c r="N29" s="646" t="s">
        <v>148</v>
      </c>
      <c r="O29" s="647">
        <f>900+13*24*3</f>
        <v>1836</v>
      </c>
      <c r="P29" s="25" t="s">
        <v>27</v>
      </c>
      <c r="Q29" s="41"/>
      <c r="R29" s="646" t="s">
        <v>148</v>
      </c>
      <c r="S29" s="647">
        <f>22*8*4</f>
        <v>704</v>
      </c>
      <c r="T29" s="25" t="s">
        <v>27</v>
      </c>
      <c r="U29" s="41"/>
      <c r="V29" s="166"/>
      <c r="W29" s="39"/>
      <c r="X29" s="25"/>
      <c r="Y29" s="41"/>
      <c r="AH29" s="6"/>
      <c r="AI29" s="6"/>
    </row>
    <row r="30" spans="1:220" ht="60.75">
      <c r="A30" s="155"/>
      <c r="B30" s="499" t="s">
        <v>31</v>
      </c>
      <c r="C30" s="156" t="s">
        <v>13</v>
      </c>
      <c r="D30" s="496" t="s">
        <v>102</v>
      </c>
      <c r="E30" s="502" t="s">
        <v>103</v>
      </c>
      <c r="F30" s="499" t="s">
        <v>40</v>
      </c>
      <c r="G30" s="156" t="s">
        <v>13</v>
      </c>
      <c r="H30" s="496" t="s">
        <v>102</v>
      </c>
      <c r="I30" s="502" t="s">
        <v>103</v>
      </c>
      <c r="J30" s="499" t="s">
        <v>40</v>
      </c>
      <c r="K30" s="156" t="s">
        <v>13</v>
      </c>
      <c r="L30" s="496" t="s">
        <v>102</v>
      </c>
      <c r="M30" s="502" t="s">
        <v>103</v>
      </c>
      <c r="N30" s="499" t="s">
        <v>40</v>
      </c>
      <c r="O30" s="156" t="s">
        <v>13</v>
      </c>
      <c r="P30" s="496" t="s">
        <v>102</v>
      </c>
      <c r="Q30" s="502" t="s">
        <v>103</v>
      </c>
      <c r="R30" s="499" t="s">
        <v>40</v>
      </c>
      <c r="S30" s="156" t="s">
        <v>13</v>
      </c>
      <c r="T30" s="496" t="s">
        <v>102</v>
      </c>
      <c r="U30" s="502" t="s">
        <v>103</v>
      </c>
      <c r="V30" s="499" t="s">
        <v>40</v>
      </c>
      <c r="W30" s="156" t="s">
        <v>13</v>
      </c>
      <c r="X30" s="496" t="s">
        <v>102</v>
      </c>
      <c r="Y30" s="502" t="s">
        <v>103</v>
      </c>
      <c r="Z30" s="14"/>
      <c r="AA30" s="14"/>
      <c r="AB30" s="14"/>
      <c r="AC30" s="14"/>
      <c r="AD30" s="14"/>
      <c r="AE30" s="14"/>
      <c r="AF30" s="14"/>
      <c r="AG30" s="14"/>
      <c r="AH30" s="15"/>
      <c r="AI30" s="15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</row>
    <row r="31" spans="1:50" ht="25.5" customHeight="1">
      <c r="A31" s="111" t="s">
        <v>41</v>
      </c>
      <c r="B31" s="500">
        <f>((14683+16270+13166+16500+20200)/5)</f>
        <v>16163.8</v>
      </c>
      <c r="C31" s="238">
        <v>4164</v>
      </c>
      <c r="D31" s="497">
        <f>3020</f>
        <v>3020</v>
      </c>
      <c r="E31" s="503">
        <f>B31-C31-D31</f>
        <v>8979.8</v>
      </c>
      <c r="F31" s="500">
        <f>((22467+31503+25482+31800+40500)/5)</f>
        <v>30350.4</v>
      </c>
      <c r="G31" s="238">
        <v>5462</v>
      </c>
      <c r="H31" s="497">
        <f>10900</f>
        <v>10900</v>
      </c>
      <c r="I31" s="503">
        <f>F31-G31-H31</f>
        <v>13988.400000000001</v>
      </c>
      <c r="J31" s="500">
        <f>((29396+37495+33402+37100+38200)/5)</f>
        <v>35118.6</v>
      </c>
      <c r="K31" s="238">
        <v>4760</v>
      </c>
      <c r="L31" s="497">
        <v>8100</v>
      </c>
      <c r="M31" s="503">
        <f>J31-K31-L31</f>
        <v>22258.6</v>
      </c>
      <c r="N31" s="500">
        <f>((91613+56763+73833+82000+60900)/5)</f>
        <v>73021.8</v>
      </c>
      <c r="O31" s="238">
        <v>15500</v>
      </c>
      <c r="P31" s="497">
        <v>18000</v>
      </c>
      <c r="Q31" s="503">
        <f>N31-O31-P31</f>
        <v>39521.8</v>
      </c>
      <c r="R31" s="500">
        <f>((42915+54624+43338+45700+42300)/5)</f>
        <v>45775.4</v>
      </c>
      <c r="S31" s="238">
        <v>7940</v>
      </c>
      <c r="T31" s="497">
        <v>19000</v>
      </c>
      <c r="U31" s="503">
        <f>R31-S31-T31</f>
        <v>18835.4</v>
      </c>
      <c r="V31" s="500">
        <f aca="true" t="shared" si="13" ref="V31:V38">R31+N31+J31+F31+B31</f>
        <v>200430</v>
      </c>
      <c r="W31" s="238">
        <f aca="true" t="shared" si="14" ref="W31:Y38">S31+O31+K31+G31+C31</f>
        <v>37826</v>
      </c>
      <c r="X31" s="497">
        <f t="shared" si="14"/>
        <v>59020</v>
      </c>
      <c r="Y31" s="503">
        <f t="shared" si="14"/>
        <v>103584.00000000001</v>
      </c>
      <c r="Z31" s="3"/>
      <c r="AA31" s="3"/>
      <c r="AB31" s="3"/>
      <c r="AC31" s="3"/>
      <c r="AD31" s="3"/>
      <c r="AE31" s="3"/>
      <c r="AF31" s="3"/>
      <c r="AG31" s="3"/>
      <c r="AH31" s="6"/>
      <c r="AI31" s="6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5.5" customHeight="1">
      <c r="A32" s="111" t="s">
        <v>42</v>
      </c>
      <c r="B32" s="500">
        <f>B31+C32-C31</f>
        <v>16434.46</v>
      </c>
      <c r="C32" s="238">
        <f aca="true" t="shared" si="15" ref="C32:C38">C31*(1+$F$26)</f>
        <v>4434.66</v>
      </c>
      <c r="D32" s="497">
        <f>3020</f>
        <v>3020</v>
      </c>
      <c r="E32" s="503">
        <f aca="true" t="shared" si="16" ref="E32:E38">B32-C32-D32</f>
        <v>8979.8</v>
      </c>
      <c r="F32" s="500">
        <f>F31+G32-G31</f>
        <v>30705.43</v>
      </c>
      <c r="G32" s="238">
        <f aca="true" t="shared" si="17" ref="G32:G38">G31*(1+$F$26)</f>
        <v>5817.03</v>
      </c>
      <c r="H32" s="497">
        <f>10900</f>
        <v>10900</v>
      </c>
      <c r="I32" s="503">
        <f aca="true" t="shared" si="18" ref="I32:I38">F32-G32-H32</f>
        <v>13988.400000000001</v>
      </c>
      <c r="J32" s="500">
        <f>J31+K32-K31</f>
        <v>35428</v>
      </c>
      <c r="K32" s="238">
        <f aca="true" t="shared" si="19" ref="K32:K38">K31*(1+$F$26)</f>
        <v>5069.4</v>
      </c>
      <c r="L32" s="497">
        <v>8100</v>
      </c>
      <c r="M32" s="503">
        <f aca="true" t="shared" si="20" ref="M32:M38">J32-K32-L32</f>
        <v>22258.6</v>
      </c>
      <c r="N32" s="500">
        <f>N31+O32-O31</f>
        <v>74029.3</v>
      </c>
      <c r="O32" s="238">
        <f aca="true" t="shared" si="21" ref="O32:O38">O31*(1+$F$26)</f>
        <v>16507.5</v>
      </c>
      <c r="P32" s="497">
        <v>18000</v>
      </c>
      <c r="Q32" s="503">
        <f aca="true" t="shared" si="22" ref="Q32:Q38">N32-O32-P32</f>
        <v>39521.8</v>
      </c>
      <c r="R32" s="500">
        <f>R31+S32-S31</f>
        <v>46291.5</v>
      </c>
      <c r="S32" s="238">
        <f aca="true" t="shared" si="23" ref="S32:S38">S31*(1+$F$26)</f>
        <v>8456.1</v>
      </c>
      <c r="T32" s="497">
        <v>19000</v>
      </c>
      <c r="U32" s="503">
        <f aca="true" t="shared" si="24" ref="U32:U38">R32-S32-T32</f>
        <v>18835.4</v>
      </c>
      <c r="V32" s="500">
        <f t="shared" si="13"/>
        <v>202888.68999999997</v>
      </c>
      <c r="W32" s="238">
        <f t="shared" si="14"/>
        <v>40284.69</v>
      </c>
      <c r="X32" s="497">
        <f t="shared" si="14"/>
        <v>59020</v>
      </c>
      <c r="Y32" s="503">
        <f t="shared" si="14"/>
        <v>103584.00000000001</v>
      </c>
      <c r="Z32" s="3"/>
      <c r="AA32" s="3"/>
      <c r="AB32" s="3"/>
      <c r="AC32" s="3"/>
      <c r="AD32" s="3"/>
      <c r="AE32" s="3"/>
      <c r="AF32" s="3"/>
      <c r="AG32" s="3"/>
      <c r="AH32" s="6"/>
      <c r="AI32" s="6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41" ht="25.5" customHeight="1">
      <c r="A33" s="111" t="s">
        <v>43</v>
      </c>
      <c r="B33" s="500">
        <f aca="true" t="shared" si="25" ref="B33:B38">B32+C33-C32</f>
        <v>16722.7129</v>
      </c>
      <c r="C33" s="238">
        <f t="shared" si="15"/>
        <v>4722.912899999999</v>
      </c>
      <c r="D33" s="497">
        <f>3020</f>
        <v>3020</v>
      </c>
      <c r="E33" s="503">
        <f t="shared" si="16"/>
        <v>8979.8</v>
      </c>
      <c r="F33" s="500">
        <f aca="true" t="shared" si="26" ref="F33:F38">F32+G33-G32</f>
        <v>31083.53695</v>
      </c>
      <c r="G33" s="238">
        <f t="shared" si="17"/>
        <v>6195.136949999999</v>
      </c>
      <c r="H33" s="497">
        <f>10900</f>
        <v>10900</v>
      </c>
      <c r="I33" s="503">
        <f t="shared" si="18"/>
        <v>13988.400000000001</v>
      </c>
      <c r="J33" s="500">
        <f aca="true" t="shared" si="27" ref="J33:J38">J32+K33-K32</f>
        <v>35757.511</v>
      </c>
      <c r="K33" s="238">
        <f t="shared" si="19"/>
        <v>5398.910999999999</v>
      </c>
      <c r="L33" s="497">
        <v>8100</v>
      </c>
      <c r="M33" s="503">
        <f t="shared" si="20"/>
        <v>22258.6</v>
      </c>
      <c r="N33" s="500">
        <f aca="true" t="shared" si="28" ref="N33:N38">N32+O33-O32</f>
        <v>75102.2875</v>
      </c>
      <c r="O33" s="238">
        <f t="shared" si="21"/>
        <v>17580.4875</v>
      </c>
      <c r="P33" s="497">
        <v>18000</v>
      </c>
      <c r="Q33" s="503">
        <f t="shared" si="22"/>
        <v>39521.8</v>
      </c>
      <c r="R33" s="500">
        <f aca="true" t="shared" si="29" ref="R33:R38">R32+S33-S32</f>
        <v>46841.1465</v>
      </c>
      <c r="S33" s="238">
        <f t="shared" si="23"/>
        <v>9005.7465</v>
      </c>
      <c r="T33" s="497">
        <v>19000</v>
      </c>
      <c r="U33" s="503">
        <f t="shared" si="24"/>
        <v>18835.4</v>
      </c>
      <c r="V33" s="500">
        <f t="shared" si="13"/>
        <v>205507.19485000003</v>
      </c>
      <c r="W33" s="238">
        <f t="shared" si="14"/>
        <v>42903.19485</v>
      </c>
      <c r="X33" s="497">
        <f t="shared" si="14"/>
        <v>59020</v>
      </c>
      <c r="Y33" s="503">
        <f t="shared" si="14"/>
        <v>103584.00000000001</v>
      </c>
      <c r="Z33" s="3"/>
      <c r="AA33" s="11"/>
      <c r="AB33" s="3"/>
      <c r="AC33" s="3"/>
      <c r="AF33" s="9"/>
      <c r="AG33" s="6"/>
      <c r="AH33" s="10"/>
      <c r="AI33" s="10"/>
      <c r="AJ33" s="3"/>
      <c r="AK33" s="3"/>
      <c r="AL33" s="3"/>
      <c r="AM33" s="3"/>
      <c r="AN33" s="3"/>
      <c r="AO33" s="3"/>
    </row>
    <row r="34" spans="1:41" ht="25.5" customHeight="1">
      <c r="A34" s="111" t="s">
        <v>44</v>
      </c>
      <c r="B34" s="500">
        <f t="shared" si="25"/>
        <v>17029.7022385</v>
      </c>
      <c r="C34" s="238">
        <f t="shared" si="15"/>
        <v>5029.902238499999</v>
      </c>
      <c r="D34" s="497">
        <f>3020</f>
        <v>3020</v>
      </c>
      <c r="E34" s="503">
        <f t="shared" si="16"/>
        <v>8979.8</v>
      </c>
      <c r="F34" s="500">
        <f t="shared" si="26"/>
        <v>31486.220851749997</v>
      </c>
      <c r="G34" s="238">
        <f t="shared" si="17"/>
        <v>6597.820851749999</v>
      </c>
      <c r="H34" s="497">
        <f>10900</f>
        <v>10900</v>
      </c>
      <c r="I34" s="503">
        <f t="shared" si="18"/>
        <v>13988.399999999998</v>
      </c>
      <c r="J34" s="500">
        <f t="shared" si="27"/>
        <v>36108.440214999995</v>
      </c>
      <c r="K34" s="238">
        <f t="shared" si="19"/>
        <v>5749.840214999998</v>
      </c>
      <c r="L34" s="497">
        <v>8100</v>
      </c>
      <c r="M34" s="503">
        <f t="shared" si="20"/>
        <v>22258.6</v>
      </c>
      <c r="N34" s="500">
        <f t="shared" si="28"/>
        <v>76245.0191875</v>
      </c>
      <c r="O34" s="238">
        <f t="shared" si="21"/>
        <v>18723.2191875</v>
      </c>
      <c r="P34" s="497">
        <v>18000</v>
      </c>
      <c r="Q34" s="503">
        <f t="shared" si="22"/>
        <v>39521.8</v>
      </c>
      <c r="R34" s="500">
        <f t="shared" si="29"/>
        <v>47426.5200225</v>
      </c>
      <c r="S34" s="238">
        <f t="shared" si="23"/>
        <v>9591.1200225</v>
      </c>
      <c r="T34" s="497">
        <v>19000</v>
      </c>
      <c r="U34" s="503">
        <f t="shared" si="24"/>
        <v>18835.4</v>
      </c>
      <c r="V34" s="500">
        <f t="shared" si="13"/>
        <v>208295.90251525</v>
      </c>
      <c r="W34" s="238">
        <f t="shared" si="14"/>
        <v>45691.902515249996</v>
      </c>
      <c r="X34" s="497">
        <f t="shared" si="14"/>
        <v>59020</v>
      </c>
      <c r="Y34" s="503">
        <f t="shared" si="14"/>
        <v>103584</v>
      </c>
      <c r="Z34" s="3"/>
      <c r="AA34" s="11"/>
      <c r="AB34" s="3"/>
      <c r="AC34" s="3"/>
      <c r="AF34" s="10"/>
      <c r="AG34" s="6"/>
      <c r="AH34" s="16"/>
      <c r="AI34" s="16"/>
      <c r="AJ34" s="3"/>
      <c r="AK34" s="3"/>
      <c r="AL34" s="3"/>
      <c r="AM34" s="3"/>
      <c r="AN34" s="3"/>
      <c r="AO34" s="3"/>
    </row>
    <row r="35" spans="1:47" ht="25.5" customHeight="1">
      <c r="A35" s="111" t="s">
        <v>45</v>
      </c>
      <c r="B35" s="500">
        <f t="shared" si="25"/>
        <v>17356.645884002497</v>
      </c>
      <c r="C35" s="238">
        <f t="shared" si="15"/>
        <v>5356.845884002499</v>
      </c>
      <c r="D35" s="497">
        <f>3020</f>
        <v>3020</v>
      </c>
      <c r="E35" s="503">
        <f t="shared" si="16"/>
        <v>8979.8</v>
      </c>
      <c r="F35" s="500">
        <f t="shared" si="26"/>
        <v>31915.079207113744</v>
      </c>
      <c r="G35" s="238">
        <f t="shared" si="17"/>
        <v>7026.679207113749</v>
      </c>
      <c r="H35" s="497">
        <f>10900</f>
        <v>10900</v>
      </c>
      <c r="I35" s="503">
        <f t="shared" si="18"/>
        <v>13988.399999999994</v>
      </c>
      <c r="J35" s="500">
        <f t="shared" si="27"/>
        <v>36482.17982897499</v>
      </c>
      <c r="K35" s="238">
        <f t="shared" si="19"/>
        <v>6123.579828974998</v>
      </c>
      <c r="L35" s="497">
        <v>8100</v>
      </c>
      <c r="M35" s="503">
        <f t="shared" si="20"/>
        <v>22258.599999999995</v>
      </c>
      <c r="N35" s="500">
        <f t="shared" si="28"/>
        <v>77462.0284346875</v>
      </c>
      <c r="O35" s="238">
        <f t="shared" si="21"/>
        <v>19940.2284346875</v>
      </c>
      <c r="P35" s="497">
        <v>18000</v>
      </c>
      <c r="Q35" s="503">
        <f t="shared" si="22"/>
        <v>39521.8</v>
      </c>
      <c r="R35" s="500">
        <f t="shared" si="29"/>
        <v>48049.9428239625</v>
      </c>
      <c r="S35" s="238">
        <f t="shared" si="23"/>
        <v>10214.542823962498</v>
      </c>
      <c r="T35" s="497">
        <v>19000</v>
      </c>
      <c r="U35" s="503">
        <f t="shared" si="24"/>
        <v>18835.4</v>
      </c>
      <c r="V35" s="500">
        <f t="shared" si="13"/>
        <v>211265.87617874122</v>
      </c>
      <c r="W35" s="238">
        <f t="shared" si="14"/>
        <v>48661.87617874124</v>
      </c>
      <c r="X35" s="497">
        <f t="shared" si="14"/>
        <v>59020</v>
      </c>
      <c r="Y35" s="503">
        <f t="shared" si="14"/>
        <v>103584</v>
      </c>
      <c r="Z35" s="3"/>
      <c r="AA35" s="11"/>
      <c r="AB35" s="3"/>
      <c r="AC35" s="3"/>
      <c r="AD35" s="7"/>
      <c r="AE35" s="7"/>
      <c r="AF35" s="3"/>
      <c r="AG35" s="3"/>
      <c r="AH35" s="10"/>
      <c r="AI35" s="10"/>
      <c r="AJ35" s="3"/>
      <c r="AK35" s="3"/>
      <c r="AL35" s="3"/>
      <c r="AM35" s="3"/>
      <c r="AN35" s="19"/>
      <c r="AO35" s="19"/>
      <c r="AP35" s="3"/>
      <c r="AQ35" s="3"/>
      <c r="AR35" s="3"/>
      <c r="AS35" s="3"/>
      <c r="AT35" s="3"/>
      <c r="AU35" s="3"/>
    </row>
    <row r="36" spans="1:50" ht="25.5" customHeight="1">
      <c r="A36" s="111" t="s">
        <v>46</v>
      </c>
      <c r="B36" s="500">
        <f t="shared" si="25"/>
        <v>17704.840866462662</v>
      </c>
      <c r="C36" s="238">
        <f t="shared" si="15"/>
        <v>5705.040866462661</v>
      </c>
      <c r="D36" s="497">
        <f>3020</f>
        <v>3020</v>
      </c>
      <c r="E36" s="503">
        <f t="shared" si="16"/>
        <v>8979.800000000001</v>
      </c>
      <c r="F36" s="500">
        <f t="shared" si="26"/>
        <v>32371.813355576134</v>
      </c>
      <c r="G36" s="238">
        <f t="shared" si="17"/>
        <v>7483.413355576142</v>
      </c>
      <c r="H36" s="497">
        <f>10900</f>
        <v>10900</v>
      </c>
      <c r="I36" s="503">
        <f t="shared" si="18"/>
        <v>13988.399999999994</v>
      </c>
      <c r="J36" s="500">
        <f t="shared" si="27"/>
        <v>36880.21251785837</v>
      </c>
      <c r="K36" s="238">
        <f t="shared" si="19"/>
        <v>6521.6125178583725</v>
      </c>
      <c r="L36" s="497">
        <v>8100</v>
      </c>
      <c r="M36" s="503">
        <f t="shared" si="20"/>
        <v>22258.599999999995</v>
      </c>
      <c r="N36" s="500">
        <f t="shared" si="28"/>
        <v>78758.14328294218</v>
      </c>
      <c r="O36" s="238">
        <f t="shared" si="21"/>
        <v>21236.343282942184</v>
      </c>
      <c r="P36" s="497">
        <v>18000</v>
      </c>
      <c r="Q36" s="503">
        <f t="shared" si="22"/>
        <v>39521.8</v>
      </c>
      <c r="R36" s="500">
        <f t="shared" si="29"/>
        <v>48713.88810752006</v>
      </c>
      <c r="S36" s="238">
        <f t="shared" si="23"/>
        <v>10878.48810752006</v>
      </c>
      <c r="T36" s="497">
        <v>19000</v>
      </c>
      <c r="U36" s="503">
        <f t="shared" si="24"/>
        <v>18835.4</v>
      </c>
      <c r="V36" s="500">
        <f t="shared" si="13"/>
        <v>214428.89813035942</v>
      </c>
      <c r="W36" s="238">
        <f t="shared" si="14"/>
        <v>51824.89813035942</v>
      </c>
      <c r="X36" s="497">
        <f t="shared" si="14"/>
        <v>59020</v>
      </c>
      <c r="Y36" s="503">
        <f t="shared" si="14"/>
        <v>103584</v>
      </c>
      <c r="Z36" s="3"/>
      <c r="AA36" s="11"/>
      <c r="AB36" s="3"/>
      <c r="AC36" s="3"/>
      <c r="AD36" s="7"/>
      <c r="AE36" s="7"/>
      <c r="AF36" s="3"/>
      <c r="AG36" s="3"/>
      <c r="AH36" s="10"/>
      <c r="AI36" s="10"/>
      <c r="AJ36" s="3"/>
      <c r="AK36" s="3"/>
      <c r="AL36" s="19"/>
      <c r="AM36" s="19"/>
      <c r="AN36" s="19"/>
      <c r="AO36" s="19"/>
      <c r="AP36" s="3"/>
      <c r="AQ36" s="3"/>
      <c r="AR36" s="3"/>
      <c r="AS36" s="3"/>
      <c r="AT36" s="3"/>
      <c r="AU36" s="3"/>
      <c r="AV36" s="19"/>
      <c r="AW36" s="19"/>
      <c r="AX36" s="19"/>
    </row>
    <row r="37" spans="1:50" ht="25.5" customHeight="1">
      <c r="A37" s="111" t="s">
        <v>47</v>
      </c>
      <c r="B37" s="500">
        <f t="shared" si="25"/>
        <v>18075.668522782733</v>
      </c>
      <c r="C37" s="238">
        <f t="shared" si="15"/>
        <v>6075.868522782734</v>
      </c>
      <c r="D37" s="497">
        <f>3020</f>
        <v>3020</v>
      </c>
      <c r="E37" s="503">
        <f t="shared" si="16"/>
        <v>8979.8</v>
      </c>
      <c r="F37" s="500">
        <f t="shared" si="26"/>
        <v>32858.23522368858</v>
      </c>
      <c r="G37" s="238">
        <f t="shared" si="17"/>
        <v>7969.83522368859</v>
      </c>
      <c r="H37" s="497">
        <f>10900</f>
        <v>10900</v>
      </c>
      <c r="I37" s="503">
        <f t="shared" si="18"/>
        <v>13988.399999999987</v>
      </c>
      <c r="J37" s="500">
        <f t="shared" si="27"/>
        <v>37304.117331519155</v>
      </c>
      <c r="K37" s="238">
        <f t="shared" si="19"/>
        <v>6945.517331519166</v>
      </c>
      <c r="L37" s="497">
        <v>8100</v>
      </c>
      <c r="M37" s="503">
        <f t="shared" si="20"/>
        <v>22258.59999999999</v>
      </c>
      <c r="N37" s="500">
        <f t="shared" si="28"/>
        <v>80138.50559633343</v>
      </c>
      <c r="O37" s="238">
        <f t="shared" si="21"/>
        <v>22616.705596333424</v>
      </c>
      <c r="P37" s="497">
        <v>18000</v>
      </c>
      <c r="Q37" s="503">
        <f t="shared" si="22"/>
        <v>39521.8</v>
      </c>
      <c r="R37" s="500">
        <f t="shared" si="29"/>
        <v>49420.989834508866</v>
      </c>
      <c r="S37" s="238">
        <f t="shared" si="23"/>
        <v>11585.589834508863</v>
      </c>
      <c r="T37" s="497">
        <v>19000</v>
      </c>
      <c r="U37" s="503">
        <f t="shared" si="24"/>
        <v>18835.4</v>
      </c>
      <c r="V37" s="500">
        <f t="shared" si="13"/>
        <v>217797.5165088328</v>
      </c>
      <c r="W37" s="238">
        <f t="shared" si="14"/>
        <v>55193.51650883278</v>
      </c>
      <c r="X37" s="497">
        <f t="shared" si="14"/>
        <v>59020</v>
      </c>
      <c r="Y37" s="503">
        <f t="shared" si="14"/>
        <v>103583.99999999999</v>
      </c>
      <c r="Z37" s="3"/>
      <c r="AA37" s="11"/>
      <c r="AB37" s="3"/>
      <c r="AC37" s="3"/>
      <c r="AD37" s="7"/>
      <c r="AE37" s="7"/>
      <c r="AF37" s="3"/>
      <c r="AG37" s="3"/>
      <c r="AH37" s="10"/>
      <c r="AI37" s="10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19"/>
      <c r="AW37" s="19"/>
      <c r="AX37" s="19"/>
    </row>
    <row r="38" spans="1:50" ht="25.5" customHeight="1">
      <c r="A38" s="111" t="s">
        <v>48</v>
      </c>
      <c r="B38" s="500">
        <f t="shared" si="25"/>
        <v>18470.59997676361</v>
      </c>
      <c r="C38" s="238">
        <f t="shared" si="15"/>
        <v>6470.799976763611</v>
      </c>
      <c r="D38" s="497">
        <f>3020</f>
        <v>3020</v>
      </c>
      <c r="E38" s="503">
        <f t="shared" si="16"/>
        <v>8979.8</v>
      </c>
      <c r="F38" s="500">
        <f t="shared" si="26"/>
        <v>33376.27451322834</v>
      </c>
      <c r="G38" s="238">
        <f t="shared" si="17"/>
        <v>8487.874513228347</v>
      </c>
      <c r="H38" s="497">
        <f>10900</f>
        <v>10900</v>
      </c>
      <c r="I38" s="503">
        <f t="shared" si="18"/>
        <v>13988.39999999999</v>
      </c>
      <c r="J38" s="500">
        <f t="shared" si="27"/>
        <v>37755.5759580679</v>
      </c>
      <c r="K38" s="238">
        <f t="shared" si="19"/>
        <v>7396.975958067911</v>
      </c>
      <c r="L38" s="497">
        <v>8100</v>
      </c>
      <c r="M38" s="503">
        <f t="shared" si="20"/>
        <v>22258.59999999999</v>
      </c>
      <c r="N38" s="500">
        <f t="shared" si="28"/>
        <v>81608.59146009511</v>
      </c>
      <c r="O38" s="238">
        <f t="shared" si="21"/>
        <v>24086.791460095097</v>
      </c>
      <c r="P38" s="497">
        <v>18000</v>
      </c>
      <c r="Q38" s="503">
        <f t="shared" si="22"/>
        <v>39521.80000000001</v>
      </c>
      <c r="R38" s="500">
        <f t="shared" si="29"/>
        <v>50174.05317375194</v>
      </c>
      <c r="S38" s="238">
        <f t="shared" si="23"/>
        <v>12338.653173751938</v>
      </c>
      <c r="T38" s="497">
        <v>19000</v>
      </c>
      <c r="U38" s="503">
        <f t="shared" si="24"/>
        <v>18835.4</v>
      </c>
      <c r="V38" s="500">
        <f t="shared" si="13"/>
        <v>221385.09508190688</v>
      </c>
      <c r="W38" s="238">
        <f t="shared" si="14"/>
        <v>58781.095081906904</v>
      </c>
      <c r="X38" s="497">
        <f t="shared" si="14"/>
        <v>59020</v>
      </c>
      <c r="Y38" s="503">
        <f t="shared" si="14"/>
        <v>103584</v>
      </c>
      <c r="Z38" s="3"/>
      <c r="AA38" s="11"/>
      <c r="AB38" s="3"/>
      <c r="AC38" s="3"/>
      <c r="AD38" s="7"/>
      <c r="AE38" s="7"/>
      <c r="AF38" s="3"/>
      <c r="AG38" s="3"/>
      <c r="AH38" s="10"/>
      <c r="AI38" s="10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9"/>
      <c r="AW38" s="19"/>
      <c r="AX38" s="19"/>
    </row>
    <row r="39" spans="1:249" s="70" customFormat="1" ht="25.5" customHeight="1" thickBot="1">
      <c r="A39" s="644" t="s">
        <v>147</v>
      </c>
      <c r="B39" s="501">
        <f>B38+C39-C38</f>
        <v>18891.201975253247</v>
      </c>
      <c r="C39" s="239">
        <f>C38*(1+$F$26)</f>
        <v>6891.401975253246</v>
      </c>
      <c r="D39" s="498">
        <f>3020</f>
        <v>3020</v>
      </c>
      <c r="E39" s="504">
        <f>B39-C39-D39</f>
        <v>8979.800000000001</v>
      </c>
      <c r="F39" s="501">
        <f>F38+G39-G38</f>
        <v>33927.98635658818</v>
      </c>
      <c r="G39" s="239">
        <f>G38*(1+$F$26)</f>
        <v>9039.58635658819</v>
      </c>
      <c r="H39" s="498">
        <f>10900</f>
        <v>10900</v>
      </c>
      <c r="I39" s="504">
        <f>F39-G39-H39</f>
        <v>13988.399999999994</v>
      </c>
      <c r="J39" s="501">
        <f>J38+K39-K38</f>
        <v>38236.379395342316</v>
      </c>
      <c r="K39" s="239">
        <f>K38*(1+$F$26)</f>
        <v>7877.779395342325</v>
      </c>
      <c r="L39" s="498">
        <v>8100</v>
      </c>
      <c r="M39" s="504">
        <f>J39-K39-L39</f>
        <v>22258.59999999999</v>
      </c>
      <c r="N39" s="501">
        <f>N38+O39-O38</f>
        <v>83174.23290500129</v>
      </c>
      <c r="O39" s="239">
        <f>O38*(1+$F$26)</f>
        <v>25652.43290500128</v>
      </c>
      <c r="P39" s="498">
        <v>18000</v>
      </c>
      <c r="Q39" s="504">
        <f>N39-O39-P39</f>
        <v>39521.80000000002</v>
      </c>
      <c r="R39" s="501">
        <f>R38+S39-S38</f>
        <v>50976.065630045814</v>
      </c>
      <c r="S39" s="239">
        <f>S38*(1+$F$26)</f>
        <v>13140.665630045813</v>
      </c>
      <c r="T39" s="498">
        <v>19000</v>
      </c>
      <c r="U39" s="504">
        <f>R39-S39-T39</f>
        <v>18835.4</v>
      </c>
      <c r="V39" s="501">
        <f>R39+N39+J39+F39+B39</f>
        <v>225205.86626223085</v>
      </c>
      <c r="W39" s="239">
        <f>S39+O39+K39+G39+C39</f>
        <v>62601.86626223085</v>
      </c>
      <c r="X39" s="498">
        <f>T39+P39+L39+H39+D39</f>
        <v>59020</v>
      </c>
      <c r="Y39" s="504">
        <f>U39+Q39+M39+I39+E39</f>
        <v>103584.00000000001</v>
      </c>
      <c r="Z39" s="36"/>
      <c r="AA39" s="158"/>
      <c r="AB39" s="36"/>
      <c r="AC39" s="36"/>
      <c r="AD39" s="157"/>
      <c r="AE39" s="157"/>
      <c r="AF39" s="36"/>
      <c r="AG39" s="36"/>
      <c r="AH39" s="159"/>
      <c r="AI39" s="159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</row>
    <row r="40" spans="1:249" s="69" customFormat="1" ht="25.5" customHeight="1" thickBot="1">
      <c r="A40" s="138"/>
      <c r="C40" s="505"/>
      <c r="D40" s="506"/>
      <c r="G40" s="505"/>
      <c r="H40" s="506"/>
      <c r="K40" s="505"/>
      <c r="L40" s="506"/>
      <c r="O40" s="505"/>
      <c r="P40" s="506"/>
      <c r="S40" s="505"/>
      <c r="T40" s="506"/>
      <c r="W40" s="505"/>
      <c r="X40" s="506"/>
      <c r="Z40" s="68"/>
      <c r="AA40" s="164"/>
      <c r="AB40" s="68"/>
      <c r="AC40" s="68"/>
      <c r="AD40" s="68"/>
      <c r="AE40" s="68"/>
      <c r="AF40" s="68"/>
      <c r="AG40" s="68"/>
      <c r="AH40" s="165"/>
      <c r="AI40" s="165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</row>
    <row r="41" spans="1:249" s="72" customFormat="1" ht="25.5" customHeight="1">
      <c r="A41" s="117" t="s">
        <v>49</v>
      </c>
      <c r="B41" s="507">
        <f>B39+C41-C39</f>
        <v>21441.617938530566</v>
      </c>
      <c r="C41" s="508">
        <f>C39*(1+$F$26)^5</f>
        <v>9441.817938530565</v>
      </c>
      <c r="D41" s="509">
        <f>3020</f>
        <v>3020</v>
      </c>
      <c r="E41" s="510">
        <f>B41-C41-D41</f>
        <v>8979.800000000001</v>
      </c>
      <c r="F41" s="507">
        <f>F39+G41-G39</f>
        <v>37273.41670995531</v>
      </c>
      <c r="G41" s="508">
        <f>G39*(1+$F$26)^5</f>
        <v>12385.016709955316</v>
      </c>
      <c r="H41" s="509">
        <f>10900</f>
        <v>10900</v>
      </c>
      <c r="I41" s="510">
        <f>F41-G41-H41</f>
        <v>13988.399999999994</v>
      </c>
      <c r="J41" s="507">
        <f>J39+K41-K39</f>
        <v>41151.84048688891</v>
      </c>
      <c r="K41" s="508">
        <f>K39*(1+$F$26)^5</f>
        <v>10793.240486888923</v>
      </c>
      <c r="L41" s="509">
        <v>8100</v>
      </c>
      <c r="M41" s="510">
        <f>J41-K41-L41</f>
        <v>22258.59999999999</v>
      </c>
      <c r="N41" s="507">
        <f>N39+O41-O39</f>
        <v>92667.8562073064</v>
      </c>
      <c r="O41" s="508">
        <f>O39*(1+$F$26)^5</f>
        <v>35146.05620730638</v>
      </c>
      <c r="P41" s="509">
        <v>18000</v>
      </c>
      <c r="Q41" s="510">
        <f>N41-O41-P41</f>
        <v>39521.80000000002</v>
      </c>
      <c r="R41" s="507">
        <f>R39+S41-S39</f>
        <v>55839.250728129846</v>
      </c>
      <c r="S41" s="508">
        <f>S39*(1+$F$26)^5</f>
        <v>18003.850728129844</v>
      </c>
      <c r="T41" s="509">
        <v>19000</v>
      </c>
      <c r="U41" s="510">
        <f>R41-S41-T41</f>
        <v>18835.4</v>
      </c>
      <c r="V41" s="507">
        <f>R41+N41+J41+F41+B41</f>
        <v>248373.98207081106</v>
      </c>
      <c r="W41" s="508">
        <f aca="true" t="shared" si="30" ref="W41:Y44">S41+O41+K41+G41+C41</f>
        <v>85769.98207081103</v>
      </c>
      <c r="X41" s="509">
        <f t="shared" si="30"/>
        <v>59020</v>
      </c>
      <c r="Y41" s="510">
        <f t="shared" si="30"/>
        <v>103584.00000000001</v>
      </c>
      <c r="Z41" s="137"/>
      <c r="AA41" s="161"/>
      <c r="AB41" s="137"/>
      <c r="AC41" s="137"/>
      <c r="AD41" s="160"/>
      <c r="AE41" s="160"/>
      <c r="AF41" s="137"/>
      <c r="AG41" s="137"/>
      <c r="AH41" s="162"/>
      <c r="AI41" s="162"/>
      <c r="AJ41" s="137"/>
      <c r="AK41" s="137"/>
      <c r="AL41" s="137"/>
      <c r="AM41" s="137"/>
      <c r="AN41" s="137"/>
      <c r="AO41" s="137"/>
      <c r="AP41" s="137"/>
      <c r="AQ41" s="33"/>
      <c r="AR41" s="137"/>
      <c r="AS41" s="33"/>
      <c r="AT41" s="137"/>
      <c r="AU41" s="33"/>
      <c r="AV41" s="137"/>
      <c r="AW41" s="33"/>
      <c r="AX41" s="33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</row>
    <row r="42" spans="1:50" ht="25.5" customHeight="1">
      <c r="A42" s="118" t="s">
        <v>50</v>
      </c>
      <c r="B42" s="500">
        <f>B41+C42-C41</f>
        <v>29723.390192668034</v>
      </c>
      <c r="C42" s="238">
        <f>C41*(1+$F$26)^10</f>
        <v>17723.590192668027</v>
      </c>
      <c r="D42" s="497">
        <f>3020</f>
        <v>3020</v>
      </c>
      <c r="E42" s="503">
        <f>B42-C42-D42</f>
        <v>8979.800000000007</v>
      </c>
      <c r="F42" s="500">
        <f>F41+G42-G41</f>
        <v>48136.77887424417</v>
      </c>
      <c r="G42" s="238">
        <f>G41*(1+$F$26)^10</f>
        <v>23248.378874244176</v>
      </c>
      <c r="H42" s="497">
        <f>10900</f>
        <v>10900</v>
      </c>
      <c r="I42" s="503">
        <f>F42-G42-H42</f>
        <v>13988.399999999994</v>
      </c>
      <c r="J42" s="500">
        <f>J41+K42-K41</f>
        <v>50618.996089601285</v>
      </c>
      <c r="K42" s="238">
        <f>K41*(1+$F$26)^10</f>
        <v>20260.39608960129</v>
      </c>
      <c r="L42" s="497">
        <v>8100</v>
      </c>
      <c r="M42" s="503">
        <f>J42-K42-L42</f>
        <v>22258.599999999995</v>
      </c>
      <c r="N42" s="500">
        <f>N41+O42-O41</f>
        <v>123495.7788631975</v>
      </c>
      <c r="O42" s="238">
        <f>O41*(1+$F$26)^10</f>
        <v>65973.9788631975</v>
      </c>
      <c r="P42" s="497">
        <v>18000</v>
      </c>
      <c r="Q42" s="503">
        <f>N42-O42-P42</f>
        <v>39521.8</v>
      </c>
      <c r="R42" s="500">
        <f>R41+S42-S41</f>
        <v>71631.10272088955</v>
      </c>
      <c r="S42" s="238">
        <f>S41*(1+$F$26)^10</f>
        <v>33795.70272088955</v>
      </c>
      <c r="T42" s="497">
        <v>19000</v>
      </c>
      <c r="U42" s="503">
        <f>R42-S42-T42</f>
        <v>18835.4</v>
      </c>
      <c r="V42" s="500">
        <f>R42+N42+J42+F42+B42</f>
        <v>323606.0467406005</v>
      </c>
      <c r="W42" s="238">
        <f t="shared" si="30"/>
        <v>161002.04674060055</v>
      </c>
      <c r="X42" s="497">
        <f t="shared" si="30"/>
        <v>59020</v>
      </c>
      <c r="Y42" s="503">
        <f t="shared" si="30"/>
        <v>103584</v>
      </c>
      <c r="Z42" s="18"/>
      <c r="AA42" s="11"/>
      <c r="AB42" s="18"/>
      <c r="AC42" s="18"/>
      <c r="AD42" s="7"/>
      <c r="AE42" s="7"/>
      <c r="AF42" s="18"/>
      <c r="AG42" s="18"/>
      <c r="AH42" s="10"/>
      <c r="AI42" s="10"/>
      <c r="AJ42" s="18"/>
      <c r="AK42" s="18"/>
      <c r="AL42" s="18"/>
      <c r="AM42" s="18"/>
      <c r="AN42" s="18"/>
      <c r="AO42" s="18"/>
      <c r="AP42" s="18"/>
      <c r="AQ42" s="3"/>
      <c r="AR42" s="18"/>
      <c r="AS42" s="3"/>
      <c r="AT42" s="18"/>
      <c r="AU42" s="3"/>
      <c r="AV42" s="18"/>
      <c r="AW42" s="3"/>
      <c r="AX42" s="3"/>
    </row>
    <row r="43" spans="1:50" ht="25.5" customHeight="1">
      <c r="A43" s="118" t="s">
        <v>51</v>
      </c>
      <c r="B43" s="500">
        <f>B42</f>
        <v>29723.390192668034</v>
      </c>
      <c r="C43" s="238">
        <f>C42</f>
        <v>17723.590192668027</v>
      </c>
      <c r="D43" s="497">
        <f>3020</f>
        <v>3020</v>
      </c>
      <c r="E43" s="503">
        <f>B43-C43-D43</f>
        <v>8979.800000000007</v>
      </c>
      <c r="F43" s="500">
        <f>F42</f>
        <v>48136.77887424417</v>
      </c>
      <c r="G43" s="238">
        <f>G42</f>
        <v>23248.378874244176</v>
      </c>
      <c r="H43" s="497">
        <f>10900</f>
        <v>10900</v>
      </c>
      <c r="I43" s="503">
        <f>F43-G43-H43</f>
        <v>13988.399999999994</v>
      </c>
      <c r="J43" s="500">
        <f>J42</f>
        <v>50618.996089601285</v>
      </c>
      <c r="K43" s="238">
        <f>K42</f>
        <v>20260.39608960129</v>
      </c>
      <c r="L43" s="497">
        <v>8100</v>
      </c>
      <c r="M43" s="503">
        <f>J43-K43-L43</f>
        <v>22258.599999999995</v>
      </c>
      <c r="N43" s="500">
        <f>N42</f>
        <v>123495.7788631975</v>
      </c>
      <c r="O43" s="238">
        <f>O42</f>
        <v>65973.9788631975</v>
      </c>
      <c r="P43" s="497">
        <v>18000</v>
      </c>
      <c r="Q43" s="503">
        <f>N43-O43-P43</f>
        <v>39521.8</v>
      </c>
      <c r="R43" s="500">
        <f>R42</f>
        <v>71631.10272088955</v>
      </c>
      <c r="S43" s="238">
        <f>S42</f>
        <v>33795.70272088955</v>
      </c>
      <c r="T43" s="497">
        <v>19000</v>
      </c>
      <c r="U43" s="503">
        <f>R43-S43-T43</f>
        <v>18835.4</v>
      </c>
      <c r="V43" s="500">
        <f>R43+N43+J43+F43+B43</f>
        <v>323606.0467406005</v>
      </c>
      <c r="W43" s="238">
        <f t="shared" si="30"/>
        <v>161002.04674060055</v>
      </c>
      <c r="X43" s="497">
        <f t="shared" si="30"/>
        <v>59020</v>
      </c>
      <c r="Y43" s="503">
        <f t="shared" si="30"/>
        <v>103584</v>
      </c>
      <c r="Z43" s="18"/>
      <c r="AA43" s="11"/>
      <c r="AB43" s="18"/>
      <c r="AC43" s="18"/>
      <c r="AD43" s="7"/>
      <c r="AE43" s="7"/>
      <c r="AF43" s="18"/>
      <c r="AG43" s="18"/>
      <c r="AH43" s="10"/>
      <c r="AI43" s="10"/>
      <c r="AJ43" s="18"/>
      <c r="AK43" s="18"/>
      <c r="AL43" s="18"/>
      <c r="AM43" s="18"/>
      <c r="AN43" s="18"/>
      <c r="AO43" s="18"/>
      <c r="AP43" s="18"/>
      <c r="AQ43" s="3"/>
      <c r="AR43" s="18"/>
      <c r="AS43" s="3"/>
      <c r="AT43" s="18"/>
      <c r="AU43" s="3"/>
      <c r="AV43" s="18"/>
      <c r="AW43" s="3"/>
      <c r="AX43" s="3"/>
    </row>
    <row r="44" spans="1:50" ht="25.5" customHeight="1" thickBot="1">
      <c r="A44" s="119" t="s">
        <v>52</v>
      </c>
      <c r="B44" s="501">
        <f>B43</f>
        <v>29723.390192668034</v>
      </c>
      <c r="C44" s="239">
        <f>C43</f>
        <v>17723.590192668027</v>
      </c>
      <c r="D44" s="498">
        <f>3020</f>
        <v>3020</v>
      </c>
      <c r="E44" s="504">
        <f>B44-C44-D44</f>
        <v>8979.800000000007</v>
      </c>
      <c r="F44" s="501">
        <f>F43</f>
        <v>48136.77887424417</v>
      </c>
      <c r="G44" s="239">
        <f>G43</f>
        <v>23248.378874244176</v>
      </c>
      <c r="H44" s="498">
        <f>10900</f>
        <v>10900</v>
      </c>
      <c r="I44" s="504">
        <f>F44-G44-H44</f>
        <v>13988.399999999994</v>
      </c>
      <c r="J44" s="501">
        <f>J43</f>
        <v>50618.996089601285</v>
      </c>
      <c r="K44" s="239">
        <f>K43</f>
        <v>20260.39608960129</v>
      </c>
      <c r="L44" s="498">
        <v>8100</v>
      </c>
      <c r="M44" s="504">
        <f>J44-K44-L44</f>
        <v>22258.599999999995</v>
      </c>
      <c r="N44" s="501">
        <f>N43</f>
        <v>123495.7788631975</v>
      </c>
      <c r="O44" s="239">
        <f>O43</f>
        <v>65973.9788631975</v>
      </c>
      <c r="P44" s="498">
        <v>18000</v>
      </c>
      <c r="Q44" s="504">
        <f>N44-O44-P44</f>
        <v>39521.8</v>
      </c>
      <c r="R44" s="501">
        <f>R43</f>
        <v>71631.10272088955</v>
      </c>
      <c r="S44" s="239">
        <f>S43</f>
        <v>33795.70272088955</v>
      </c>
      <c r="T44" s="498">
        <v>19000</v>
      </c>
      <c r="U44" s="504">
        <f>R44-S44-T44</f>
        <v>18835.4</v>
      </c>
      <c r="V44" s="501">
        <f>R44+N44+J44+F44+B44</f>
        <v>323606.0467406005</v>
      </c>
      <c r="W44" s="239">
        <f t="shared" si="30"/>
        <v>161002.04674060055</v>
      </c>
      <c r="X44" s="498">
        <f t="shared" si="30"/>
        <v>59020</v>
      </c>
      <c r="Y44" s="504">
        <f t="shared" si="30"/>
        <v>103584</v>
      </c>
      <c r="Z44" s="18"/>
      <c r="AA44" s="11"/>
      <c r="AB44" s="18"/>
      <c r="AC44" s="18"/>
      <c r="AD44" s="7"/>
      <c r="AE44" s="7"/>
      <c r="AF44" s="18"/>
      <c r="AG44" s="18"/>
      <c r="AH44" s="10"/>
      <c r="AI44" s="10"/>
      <c r="AJ44" s="18"/>
      <c r="AK44" s="18"/>
      <c r="AL44" s="18"/>
      <c r="AM44" s="18"/>
      <c r="AN44" s="18"/>
      <c r="AO44" s="18"/>
      <c r="AP44" s="18"/>
      <c r="AQ44" s="17"/>
      <c r="AR44" s="18"/>
      <c r="AS44" s="17"/>
      <c r="AT44" s="18"/>
      <c r="AU44" s="3"/>
      <c r="AV44" s="18"/>
      <c r="AW44" s="3"/>
      <c r="AX44" s="3"/>
    </row>
    <row r="45" spans="1:29" ht="15.75">
      <c r="A45" s="648" t="s">
        <v>149</v>
      </c>
      <c r="B45" s="113"/>
      <c r="C45" s="33"/>
      <c r="D45" s="497">
        <f>C29*8</f>
        <v>4424</v>
      </c>
      <c r="F45" s="33"/>
      <c r="G45" s="33"/>
      <c r="H45" s="497">
        <f>G29*8</f>
        <v>4752</v>
      </c>
      <c r="I45" s="645"/>
      <c r="J45" s="33"/>
      <c r="K45" s="33"/>
      <c r="L45" s="497">
        <f>K29*8</f>
        <v>8800</v>
      </c>
      <c r="M45" s="33"/>
      <c r="N45" s="33"/>
      <c r="O45" s="33"/>
      <c r="P45" s="497">
        <f>O29*8</f>
        <v>14688</v>
      </c>
      <c r="R45" s="33"/>
      <c r="S45" s="33"/>
      <c r="T45" s="497">
        <f>S29*8</f>
        <v>5632</v>
      </c>
      <c r="U45" s="33"/>
      <c r="V45" s="33"/>
      <c r="W45" s="26"/>
      <c r="X45" s="26"/>
      <c r="Y45" s="26"/>
      <c r="AC45" s="3"/>
    </row>
    <row r="46" spans="1:29" ht="15.75">
      <c r="A46" s="20" t="s">
        <v>150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AC46" s="3"/>
    </row>
    <row r="47" spans="1:249" s="303" customFormat="1" ht="18">
      <c r="A47" s="245" t="s">
        <v>75</v>
      </c>
      <c r="B47" s="248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47"/>
      <c r="X47" s="247"/>
      <c r="Y47" s="247"/>
      <c r="Z47" s="302"/>
      <c r="AA47" s="302"/>
      <c r="AB47" s="302"/>
      <c r="AC47" s="304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02"/>
      <c r="FL47" s="302"/>
      <c r="FM47" s="302"/>
      <c r="FN47" s="302"/>
      <c r="FO47" s="302"/>
      <c r="FP47" s="302"/>
      <c r="FQ47" s="302"/>
      <c r="FR47" s="302"/>
      <c r="FS47" s="30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E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</row>
    <row r="48" spans="1:29" ht="15.75">
      <c r="A48" s="20" t="s">
        <v>62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AC48" s="3"/>
    </row>
    <row r="49" spans="1:29" ht="15">
      <c r="A49" s="20" t="s">
        <v>54</v>
      </c>
      <c r="B49" s="22">
        <v>0.02</v>
      </c>
      <c r="C49" s="27" t="s">
        <v>69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AC49" s="3"/>
    </row>
    <row r="50" spans="1:29" ht="15">
      <c r="A50" s="20" t="s">
        <v>54</v>
      </c>
      <c r="B50" s="22">
        <v>0.04</v>
      </c>
      <c r="C50" s="27" t="s">
        <v>70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AC50" s="3"/>
    </row>
    <row r="51" spans="1:29" ht="15">
      <c r="A51" s="20" t="s">
        <v>63</v>
      </c>
      <c r="B51" s="20">
        <v>20</v>
      </c>
      <c r="C51" s="23" t="s">
        <v>64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AC51" s="3"/>
    </row>
    <row r="52" spans="1:29" ht="15.75">
      <c r="A52" s="24" t="s">
        <v>65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AC52" s="3"/>
    </row>
    <row r="53" spans="3:29" ht="15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8"/>
      <c r="AC53" s="3"/>
    </row>
    <row r="54" spans="1:29" ht="18">
      <c r="A54" s="21" t="s">
        <v>66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8"/>
      <c r="AC54" s="3"/>
    </row>
    <row r="55" spans="3:29" ht="16.5" thickBot="1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2"/>
      <c r="X55" s="25"/>
      <c r="AA55" s="5"/>
      <c r="AC55" s="3"/>
    </row>
    <row r="56" spans="2:220" ht="15.75">
      <c r="B56" s="47"/>
      <c r="C56" s="34" t="s">
        <v>28</v>
      </c>
      <c r="D56" s="37"/>
      <c r="E56" s="37"/>
      <c r="F56" s="35"/>
      <c r="G56" s="34" t="s">
        <v>29</v>
      </c>
      <c r="H56" s="37"/>
      <c r="I56" s="37"/>
      <c r="J56" s="35"/>
      <c r="K56" s="34" t="s">
        <v>21</v>
      </c>
      <c r="L56" s="38"/>
      <c r="M56" s="37"/>
      <c r="N56" s="35"/>
      <c r="O56" s="34" t="s">
        <v>9</v>
      </c>
      <c r="P56" s="37"/>
      <c r="Q56" s="38"/>
      <c r="R56" s="35"/>
      <c r="S56" s="34" t="s">
        <v>30</v>
      </c>
      <c r="T56" s="37"/>
      <c r="U56" s="37"/>
      <c r="V56" s="35"/>
      <c r="W56" s="34" t="s">
        <v>16</v>
      </c>
      <c r="X56" s="35"/>
      <c r="Y56" s="29"/>
      <c r="Z56" s="762"/>
      <c r="AA56" s="762"/>
      <c r="AB56" s="762"/>
      <c r="AC56" s="762"/>
      <c r="AD56" s="762"/>
      <c r="AE56" s="762"/>
      <c r="AF56" s="762"/>
      <c r="AG56" s="762"/>
      <c r="AH56" s="762"/>
      <c r="AI56" s="6"/>
      <c r="AJ56" s="762"/>
      <c r="AK56" s="762"/>
      <c r="AL56" s="762"/>
      <c r="AM56" s="762"/>
      <c r="AN56" s="762"/>
      <c r="AO56" s="762"/>
      <c r="AP56" s="762"/>
      <c r="AQ56" s="762"/>
      <c r="AR56" s="762"/>
      <c r="AS56" s="762"/>
      <c r="AT56" s="762"/>
      <c r="AU56" s="762"/>
      <c r="AV56" s="762"/>
      <c r="AW56" s="762"/>
      <c r="AX56" s="762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</row>
    <row r="57" spans="1:29" ht="16.5" thickBot="1">
      <c r="A57" s="39"/>
      <c r="B57" s="48"/>
      <c r="C57" s="40"/>
      <c r="D57" s="36"/>
      <c r="E57" s="36"/>
      <c r="F57" s="41"/>
      <c r="G57" s="40"/>
      <c r="H57" s="36"/>
      <c r="I57" s="36"/>
      <c r="J57" s="41"/>
      <c r="K57" s="40"/>
      <c r="L57" s="36"/>
      <c r="M57" s="36"/>
      <c r="N57" s="41"/>
      <c r="O57" s="40"/>
      <c r="P57" s="36"/>
      <c r="Q57" s="36"/>
      <c r="R57" s="41"/>
      <c r="S57" s="40"/>
      <c r="T57" s="36"/>
      <c r="U57" s="36"/>
      <c r="V57" s="41"/>
      <c r="W57" s="40"/>
      <c r="X57" s="41"/>
      <c r="Y57" s="30"/>
      <c r="AA57" s="763"/>
      <c r="AB57" s="763"/>
      <c r="AC57" s="3"/>
    </row>
    <row r="58" spans="1:25" ht="32.25" customHeight="1">
      <c r="A58" s="83"/>
      <c r="B58" s="84" t="s">
        <v>10</v>
      </c>
      <c r="C58" s="51" t="s">
        <v>8</v>
      </c>
      <c r="D58" s="42" t="s">
        <v>17</v>
      </c>
      <c r="E58" s="43" t="s">
        <v>61</v>
      </c>
      <c r="F58" s="52" t="s">
        <v>71</v>
      </c>
      <c r="G58" s="51" t="s">
        <v>8</v>
      </c>
      <c r="H58" s="42" t="s">
        <v>17</v>
      </c>
      <c r="I58" s="43" t="s">
        <v>61</v>
      </c>
      <c r="J58" s="52" t="s">
        <v>71</v>
      </c>
      <c r="K58" s="51" t="s">
        <v>8</v>
      </c>
      <c r="L58" s="42" t="s">
        <v>17</v>
      </c>
      <c r="M58" s="43" t="s">
        <v>61</v>
      </c>
      <c r="N58" s="52" t="s">
        <v>71</v>
      </c>
      <c r="O58" s="51" t="s">
        <v>8</v>
      </c>
      <c r="P58" s="42" t="s">
        <v>17</v>
      </c>
      <c r="Q58" s="43" t="s">
        <v>61</v>
      </c>
      <c r="R58" s="52" t="s">
        <v>71</v>
      </c>
      <c r="S58" s="51" t="s">
        <v>8</v>
      </c>
      <c r="T58" s="42" t="s">
        <v>17</v>
      </c>
      <c r="U58" s="43" t="s">
        <v>61</v>
      </c>
      <c r="V58" s="52" t="s">
        <v>71</v>
      </c>
      <c r="W58" s="78" t="s">
        <v>61</v>
      </c>
      <c r="X58" s="52" t="s">
        <v>71</v>
      </c>
      <c r="Y58" s="30"/>
    </row>
    <row r="59" spans="1:25" ht="32.25" customHeight="1">
      <c r="A59" s="85" t="s">
        <v>18</v>
      </c>
      <c r="B59" s="209">
        <v>90</v>
      </c>
      <c r="C59" s="226">
        <v>580</v>
      </c>
      <c r="D59" s="205"/>
      <c r="E59" s="206">
        <f>C59*$B59</f>
        <v>52200</v>
      </c>
      <c r="F59" s="209">
        <f>(($B$49*(1+$B$49)^$B$51)/((1+$B$49)^$B$51-1))*E59</f>
        <v>3192.3806861401586</v>
      </c>
      <c r="G59" s="226">
        <v>635</v>
      </c>
      <c r="H59" s="206"/>
      <c r="I59" s="206">
        <f>G59*$B59</f>
        <v>57150</v>
      </c>
      <c r="J59" s="209">
        <f>(($B$49*(1+$B$49)^$B$51)/((1+$B$49)^$B$51-1))*I59</f>
        <v>3495.106440860346</v>
      </c>
      <c r="K59" s="226">
        <v>480</v>
      </c>
      <c r="L59" s="206"/>
      <c r="M59" s="206">
        <f>K59*$B59</f>
        <v>43200</v>
      </c>
      <c r="N59" s="209">
        <f>(($B$49*(1+$B$49)^$B$51)/((1+$B$49)^$B$51-1))*M59</f>
        <v>2641.970223012545</v>
      </c>
      <c r="O59" s="226">
        <v>2135</v>
      </c>
      <c r="P59" s="206"/>
      <c r="Q59" s="206">
        <f>O59*$B59</f>
        <v>192150</v>
      </c>
      <c r="R59" s="209">
        <f>(($B$49*(1+$B$49)^$B$51)/((1+$B$49)^$B$51-1))*Q59</f>
        <v>11751.26338777455</v>
      </c>
      <c r="S59" s="226">
        <v>878</v>
      </c>
      <c r="T59" s="206"/>
      <c r="U59" s="206">
        <f>S59*$B59</f>
        <v>79020</v>
      </c>
      <c r="V59" s="209">
        <f>(($B$49*(1+$B$49)^$B$51)/((1+$B$49)^$B$51-1))*U59</f>
        <v>4832.603866260447</v>
      </c>
      <c r="W59" s="227">
        <f aca="true" t="shared" si="31" ref="W59:W66">U59+Q59+M59+I59+E59</f>
        <v>423720</v>
      </c>
      <c r="X59" s="209">
        <f>(($B$49*(1+$B$49)^$B$51)/((1+$B$49)^$B$51-1))*W59</f>
        <v>25913.324604048044</v>
      </c>
      <c r="Y59" s="30"/>
    </row>
    <row r="60" spans="1:25" ht="32.25" customHeight="1">
      <c r="A60" s="85" t="s">
        <v>12</v>
      </c>
      <c r="B60" s="209">
        <v>145</v>
      </c>
      <c r="C60" s="226">
        <v>412</v>
      </c>
      <c r="D60" s="205"/>
      <c r="E60" s="206">
        <f>C60*$B60</f>
        <v>59740</v>
      </c>
      <c r="F60" s="209">
        <f>(($B$49*(1+$B$49)^$B$51)/((1+$B$49)^$B$51-1))*E60</f>
        <v>3653.5023408048482</v>
      </c>
      <c r="G60" s="226">
        <v>875</v>
      </c>
      <c r="H60" s="206"/>
      <c r="I60" s="206">
        <f>G60*$B60</f>
        <v>126875</v>
      </c>
      <c r="J60" s="209">
        <f>(($B$49*(1+$B$49)^$B$51)/((1+$B$49)^$B$51-1))*I60</f>
        <v>7759.258612146219</v>
      </c>
      <c r="K60" s="226">
        <v>346</v>
      </c>
      <c r="L60" s="206"/>
      <c r="M60" s="206">
        <f>K60*$B60</f>
        <v>50170</v>
      </c>
      <c r="N60" s="209">
        <f>(($B$49*(1+$B$49)^$B$51)/((1+$B$49)^$B$51-1))*M60</f>
        <v>3068.232548345819</v>
      </c>
      <c r="O60" s="226">
        <v>1445</v>
      </c>
      <c r="P60" s="206"/>
      <c r="Q60" s="206">
        <f>O60*$B60</f>
        <v>209525</v>
      </c>
      <c r="R60" s="209">
        <f aca="true" t="shared" si="32" ref="R60:R65">(($B$49*(1+$B$49)^$B$51)/((1+$B$49)^$B$51-1))*Q60</f>
        <v>12813.86136520147</v>
      </c>
      <c r="S60" s="226">
        <v>874</v>
      </c>
      <c r="T60" s="206"/>
      <c r="U60" s="206">
        <f>S60*$B60</f>
        <v>126730</v>
      </c>
      <c r="V60" s="209">
        <f aca="true" t="shared" si="33" ref="V60:X62">(($B$49*(1+$B$49)^$B$51)/((1+$B$49)^$B$51-1))*U60</f>
        <v>7750.390888018052</v>
      </c>
      <c r="W60" s="227">
        <f t="shared" si="31"/>
        <v>573040</v>
      </c>
      <c r="X60" s="209">
        <f t="shared" si="33"/>
        <v>35045.24575451641</v>
      </c>
      <c r="Y60" s="30"/>
    </row>
    <row r="61" spans="1:25" ht="32.25" customHeight="1">
      <c r="A61" s="85" t="s">
        <v>36</v>
      </c>
      <c r="B61" s="209"/>
      <c r="C61" s="226">
        <v>25</v>
      </c>
      <c r="D61" s="206">
        <f>E61/C61</f>
        <v>648</v>
      </c>
      <c r="E61" s="206">
        <v>16200</v>
      </c>
      <c r="F61" s="209">
        <f>(($B$49*(1+$B$49)^$B$51)/((1+$B$49)^$B$51-1))*E61</f>
        <v>990.7388336297043</v>
      </c>
      <c r="G61" s="226">
        <v>40</v>
      </c>
      <c r="H61" s="206">
        <f>I61/G61</f>
        <v>1203.75</v>
      </c>
      <c r="I61" s="206">
        <v>48150</v>
      </c>
      <c r="J61" s="209">
        <f>(($B$49*(1+$B$49)^$B$51)/((1+$B$49)^$B$51-1))*I61</f>
        <v>2944.6959777327324</v>
      </c>
      <c r="K61" s="226">
        <v>21</v>
      </c>
      <c r="L61" s="206">
        <f>M61/K61</f>
        <v>769.047619047619</v>
      </c>
      <c r="M61" s="206">
        <v>16150</v>
      </c>
      <c r="N61" s="209">
        <f>(($B$49*(1+$B$49)^$B$51)/((1+$B$49)^$B$51-1))*M61</f>
        <v>987.6809977234399</v>
      </c>
      <c r="O61" s="226">
        <v>6</v>
      </c>
      <c r="P61" s="206">
        <f>Q61/O61</f>
        <v>416.6666666666667</v>
      </c>
      <c r="Q61" s="206">
        <v>2500</v>
      </c>
      <c r="R61" s="209">
        <f t="shared" si="32"/>
        <v>152.891795313226</v>
      </c>
      <c r="S61" s="226">
        <v>28</v>
      </c>
      <c r="T61" s="206">
        <f>U61/S61</f>
        <v>648.2142857142857</v>
      </c>
      <c r="U61" s="206">
        <v>18150</v>
      </c>
      <c r="V61" s="209">
        <f t="shared" si="33"/>
        <v>1109.9944339740207</v>
      </c>
      <c r="W61" s="227">
        <f t="shared" si="31"/>
        <v>101150</v>
      </c>
      <c r="X61" s="209">
        <f t="shared" si="33"/>
        <v>6186.0020383731235</v>
      </c>
      <c r="Y61" s="30"/>
    </row>
    <row r="62" spans="1:25" ht="32.25" customHeight="1">
      <c r="A62" s="85" t="s">
        <v>37</v>
      </c>
      <c r="B62" s="209"/>
      <c r="C62" s="204"/>
      <c r="D62" s="205"/>
      <c r="E62" s="206">
        <v>50000</v>
      </c>
      <c r="F62" s="209">
        <f>(($B$49*(1+$B$49)^$B$51)/((1+$B$49)^$B$51-1))*E62</f>
        <v>3057.83590626452</v>
      </c>
      <c r="G62" s="204"/>
      <c r="H62" s="206"/>
      <c r="I62" s="206"/>
      <c r="J62" s="209">
        <f>(($B$49*(1+$B$49)^$B$51)/((1+$B$49)^$B$51-1))*I62</f>
        <v>0</v>
      </c>
      <c r="K62" s="204"/>
      <c r="L62" s="206"/>
      <c r="M62" s="206">
        <v>75000</v>
      </c>
      <c r="N62" s="209">
        <f>(($B$49*(1+$B$49)^$B$51)/((1+$B$49)^$B$51-1))*M62</f>
        <v>4586.753859396779</v>
      </c>
      <c r="O62" s="204"/>
      <c r="P62" s="206"/>
      <c r="Q62" s="206">
        <v>80000</v>
      </c>
      <c r="R62" s="209">
        <f t="shared" si="32"/>
        <v>4892.537450023232</v>
      </c>
      <c r="S62" s="204"/>
      <c r="T62" s="206"/>
      <c r="U62" s="206">
        <v>70000</v>
      </c>
      <c r="V62" s="209">
        <f t="shared" si="33"/>
        <v>4280.9702687703275</v>
      </c>
      <c r="W62" s="227">
        <f t="shared" si="31"/>
        <v>275000</v>
      </c>
      <c r="X62" s="209">
        <f t="shared" si="33"/>
        <v>16818.09748445486</v>
      </c>
      <c r="Y62" s="30"/>
    </row>
    <row r="63" spans="1:25" ht="32.25" customHeight="1">
      <c r="A63" s="85" t="s">
        <v>35</v>
      </c>
      <c r="B63" s="209"/>
      <c r="C63" s="204"/>
      <c r="D63" s="205"/>
      <c r="E63" s="206"/>
      <c r="F63" s="209"/>
      <c r="G63" s="204"/>
      <c r="H63" s="206"/>
      <c r="I63" s="206">
        <v>40000</v>
      </c>
      <c r="J63" s="209">
        <f>(($B$50*(1+$B$50)^$B$51)/((1+$B$50)^$B$51-1))*I63</f>
        <v>2943.2700131451534</v>
      </c>
      <c r="K63" s="204"/>
      <c r="L63" s="206"/>
      <c r="M63" s="206"/>
      <c r="N63" s="209"/>
      <c r="O63" s="204"/>
      <c r="P63" s="206"/>
      <c r="Q63" s="206"/>
      <c r="R63" s="209"/>
      <c r="S63" s="204"/>
      <c r="T63" s="206"/>
      <c r="U63" s="206">
        <v>40000</v>
      </c>
      <c r="V63" s="209">
        <f>(($B$50*(1+$B$50)^$B$51)/((1+$B$50)^$B$51-1))*U63</f>
        <v>2943.2700131451534</v>
      </c>
      <c r="W63" s="227">
        <f t="shared" si="31"/>
        <v>80000</v>
      </c>
      <c r="X63" s="209">
        <f>(($B$50*(1+$B$50)^$B$51)/((1+$B$50)^$B$51-1))*W63</f>
        <v>5886.540026290307</v>
      </c>
      <c r="Y63" s="30"/>
    </row>
    <row r="64" spans="1:25" ht="32.25" customHeight="1">
      <c r="A64" s="85" t="s">
        <v>33</v>
      </c>
      <c r="B64" s="209"/>
      <c r="C64" s="204"/>
      <c r="D64" s="205"/>
      <c r="E64" s="206"/>
      <c r="F64" s="209"/>
      <c r="G64" s="204"/>
      <c r="H64" s="206"/>
      <c r="I64" s="206"/>
      <c r="J64" s="209"/>
      <c r="K64" s="204"/>
      <c r="L64" s="206"/>
      <c r="M64" s="206"/>
      <c r="N64" s="209"/>
      <c r="O64" s="204"/>
      <c r="P64" s="206"/>
      <c r="Q64" s="206">
        <v>16500</v>
      </c>
      <c r="R64" s="209">
        <f t="shared" si="32"/>
        <v>1009.0858490672915</v>
      </c>
      <c r="S64" s="204"/>
      <c r="T64" s="206"/>
      <c r="U64" s="206"/>
      <c r="V64" s="209"/>
      <c r="W64" s="227">
        <f t="shared" si="31"/>
        <v>16500</v>
      </c>
      <c r="X64" s="209">
        <f>(($B$49*(1+$B$49)^$B$51)/((1+$B$49)^$B$51-1))*W64</f>
        <v>1009.0858490672915</v>
      </c>
      <c r="Y64" s="30"/>
    </row>
    <row r="65" spans="1:29" ht="32.25" customHeight="1">
      <c r="A65" s="85" t="s">
        <v>32</v>
      </c>
      <c r="B65" s="209"/>
      <c r="C65" s="204"/>
      <c r="D65" s="205"/>
      <c r="E65" s="206"/>
      <c r="F65" s="209"/>
      <c r="G65" s="204"/>
      <c r="H65" s="206"/>
      <c r="I65" s="206"/>
      <c r="J65" s="209"/>
      <c r="K65" s="204"/>
      <c r="L65" s="206"/>
      <c r="M65" s="206"/>
      <c r="N65" s="209"/>
      <c r="O65" s="204"/>
      <c r="P65" s="206"/>
      <c r="Q65" s="206">
        <v>11000</v>
      </c>
      <c r="R65" s="209">
        <f t="shared" si="32"/>
        <v>672.7238993781943</v>
      </c>
      <c r="S65" s="204"/>
      <c r="T65" s="206"/>
      <c r="U65" s="206"/>
      <c r="V65" s="209"/>
      <c r="W65" s="227">
        <f t="shared" si="31"/>
        <v>11000</v>
      </c>
      <c r="X65" s="209">
        <f>(($B$49*(1+$B$49)^$B$51)/((1+$B$49)^$B$51-1))*W65</f>
        <v>672.7238993781943</v>
      </c>
      <c r="Y65" s="31"/>
      <c r="Z65" s="3"/>
      <c r="AA65" s="3"/>
      <c r="AB65" s="3"/>
      <c r="AC65" s="3"/>
    </row>
    <row r="66" spans="1:249" s="61" customFormat="1" ht="32.25" customHeight="1" thickBot="1">
      <c r="A66" s="86" t="s">
        <v>53</v>
      </c>
      <c r="B66" s="214"/>
      <c r="C66" s="211"/>
      <c r="D66" s="212"/>
      <c r="E66" s="213">
        <f>SUM(E59:E65)</f>
        <v>178140</v>
      </c>
      <c r="F66" s="214">
        <f>SUM(F59:F65)</f>
        <v>10894.45776683923</v>
      </c>
      <c r="G66" s="211"/>
      <c r="H66" s="213"/>
      <c r="I66" s="213">
        <f>SUM(I59:I65)</f>
        <v>272175</v>
      </c>
      <c r="J66" s="214">
        <f>SUM(J59:J65)</f>
        <v>17142.33104388445</v>
      </c>
      <c r="K66" s="211"/>
      <c r="L66" s="213"/>
      <c r="M66" s="213">
        <f>SUM(M59:M65)</f>
        <v>184520</v>
      </c>
      <c r="N66" s="214">
        <f>SUM(N59:N65)</f>
        <v>11284.637628478584</v>
      </c>
      <c r="O66" s="323"/>
      <c r="P66" s="324"/>
      <c r="Q66" s="324">
        <f>SUM(Q59:Q65)</f>
        <v>511675</v>
      </c>
      <c r="R66" s="325">
        <f>SUM(R59:R65)</f>
        <v>31292.363746757965</v>
      </c>
      <c r="S66" s="211"/>
      <c r="T66" s="213"/>
      <c r="U66" s="213">
        <f>SUM(U59:U65)</f>
        <v>333900</v>
      </c>
      <c r="V66" s="214">
        <f>SUM(V59:V65)</f>
        <v>20917.229470168</v>
      </c>
      <c r="W66" s="327">
        <f t="shared" si="31"/>
        <v>1480410</v>
      </c>
      <c r="X66" s="328">
        <f>V66+R66+N66+J66+F66</f>
        <v>91531.01965612822</v>
      </c>
      <c r="Y66" s="58"/>
      <c r="Z66" s="59"/>
      <c r="AA66" s="59"/>
      <c r="AB66" s="59"/>
      <c r="AC66" s="59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</row>
    <row r="67" spans="1:249" s="317" customFormat="1" ht="32.25" customHeight="1">
      <c r="A67" s="358" t="s">
        <v>90</v>
      </c>
      <c r="B67" s="343"/>
      <c r="C67" s="344"/>
      <c r="D67" s="345"/>
      <c r="E67" s="343"/>
      <c r="F67" s="343"/>
      <c r="G67" s="344"/>
      <c r="H67" s="343"/>
      <c r="I67" s="343"/>
      <c r="J67" s="343"/>
      <c r="K67" s="344"/>
      <c r="L67" s="343"/>
      <c r="M67" s="343"/>
      <c r="N67" s="343"/>
      <c r="O67" s="329"/>
      <c r="P67" s="360"/>
      <c r="Q67" s="326">
        <v>0</v>
      </c>
      <c r="R67" s="361"/>
      <c r="S67" s="344"/>
      <c r="T67" s="343"/>
      <c r="U67" s="343"/>
      <c r="V67" s="343"/>
      <c r="W67" s="353"/>
      <c r="X67" s="341"/>
      <c r="Y67" s="64"/>
      <c r="Z67" s="64"/>
      <c r="AA67" s="64"/>
      <c r="AB67" s="64"/>
      <c r="AC67" s="64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  <c r="FP67" s="195"/>
      <c r="FQ67" s="195"/>
      <c r="FR67" s="195"/>
      <c r="FS67" s="195"/>
      <c r="FT67" s="195"/>
      <c r="FU67" s="195"/>
      <c r="FV67" s="195"/>
      <c r="FW67" s="195"/>
      <c r="FX67" s="195"/>
      <c r="FY67" s="195"/>
      <c r="FZ67" s="195"/>
      <c r="GA67" s="195"/>
      <c r="GB67" s="195"/>
      <c r="GC67" s="195"/>
      <c r="GD67" s="195"/>
      <c r="GE67" s="195"/>
      <c r="GF67" s="195"/>
      <c r="GG67" s="195"/>
      <c r="GH67" s="195"/>
      <c r="GI67" s="195"/>
      <c r="GJ67" s="195"/>
      <c r="GK67" s="195"/>
      <c r="GL67" s="195"/>
      <c r="GM67" s="195"/>
      <c r="GN67" s="195"/>
      <c r="GO67" s="195"/>
      <c r="GP67" s="195"/>
      <c r="GQ67" s="195"/>
      <c r="GR67" s="195"/>
      <c r="GS67" s="195"/>
      <c r="GT67" s="195"/>
      <c r="GU67" s="195"/>
      <c r="GV67" s="195"/>
      <c r="GW67" s="195"/>
      <c r="GX67" s="195"/>
      <c r="GY67" s="195"/>
      <c r="GZ67" s="195"/>
      <c r="HA67" s="195"/>
      <c r="HB67" s="195"/>
      <c r="HC67" s="195"/>
      <c r="HD67" s="195"/>
      <c r="HE67" s="195"/>
      <c r="HF67" s="195"/>
      <c r="HG67" s="195"/>
      <c r="HH67" s="195"/>
      <c r="HI67" s="195"/>
      <c r="HJ67" s="195"/>
      <c r="HK67" s="195"/>
      <c r="HL67" s="195"/>
      <c r="HM67" s="195"/>
      <c r="HN67" s="195"/>
      <c r="HO67" s="195"/>
      <c r="HP67" s="195"/>
      <c r="HQ67" s="195"/>
      <c r="HR67" s="195"/>
      <c r="HS67" s="195"/>
      <c r="HT67" s="195"/>
      <c r="HU67" s="195"/>
      <c r="HV67" s="195"/>
      <c r="HW67" s="195"/>
      <c r="HX67" s="195"/>
      <c r="HY67" s="195"/>
      <c r="HZ67" s="195"/>
      <c r="IA67" s="195"/>
      <c r="IB67" s="195"/>
      <c r="IC67" s="195"/>
      <c r="ID67" s="195"/>
      <c r="IE67" s="195"/>
      <c r="IF67" s="195"/>
      <c r="IG67" s="195"/>
      <c r="IH67" s="195"/>
      <c r="II67" s="195"/>
      <c r="IJ67" s="195"/>
      <c r="IK67" s="195"/>
      <c r="IL67" s="195"/>
      <c r="IM67" s="195"/>
      <c r="IN67" s="195"/>
      <c r="IO67" s="195"/>
    </row>
    <row r="68" spans="1:249" s="317" customFormat="1" ht="32.25" customHeight="1" thickBot="1">
      <c r="A68" s="359" t="s">
        <v>91</v>
      </c>
      <c r="B68" s="319"/>
      <c r="C68" s="320"/>
      <c r="D68" s="321"/>
      <c r="E68" s="319"/>
      <c r="F68" s="319"/>
      <c r="G68" s="320"/>
      <c r="H68" s="319"/>
      <c r="I68" s="319"/>
      <c r="J68" s="319"/>
      <c r="K68" s="320"/>
      <c r="L68" s="319"/>
      <c r="M68" s="319"/>
      <c r="N68" s="319"/>
      <c r="O68" s="362"/>
      <c r="P68" s="363"/>
      <c r="Q68" s="213">
        <f>Q66+Q67</f>
        <v>511675</v>
      </c>
      <c r="R68" s="214">
        <f>(($B$49*(1+$B$49)^$B$51)/((1+$B$49)^$B$51-1))*Q68</f>
        <v>31292.36374675796</v>
      </c>
      <c r="S68" s="320"/>
      <c r="T68" s="319"/>
      <c r="U68" s="319"/>
      <c r="V68" s="319"/>
      <c r="W68" s="355">
        <f>U66+Q68+M66+I66+E66</f>
        <v>1480410</v>
      </c>
      <c r="X68" s="322">
        <f>V66+R68+N66+J66+F66</f>
        <v>91531.01965612822</v>
      </c>
      <c r="Y68" s="64"/>
      <c r="Z68" s="64"/>
      <c r="AA68" s="64"/>
      <c r="AB68" s="64"/>
      <c r="AC68" s="64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  <c r="FP68" s="195"/>
      <c r="FQ68" s="195"/>
      <c r="FR68" s="195"/>
      <c r="FS68" s="195"/>
      <c r="FT68" s="195"/>
      <c r="FU68" s="195"/>
      <c r="FV68" s="195"/>
      <c r="FW68" s="195"/>
      <c r="FX68" s="195"/>
      <c r="FY68" s="195"/>
      <c r="FZ68" s="195"/>
      <c r="GA68" s="195"/>
      <c r="GB68" s="195"/>
      <c r="GC68" s="195"/>
      <c r="GD68" s="195"/>
      <c r="GE68" s="195"/>
      <c r="GF68" s="195"/>
      <c r="GG68" s="195"/>
      <c r="GH68" s="195"/>
      <c r="GI68" s="195"/>
      <c r="GJ68" s="195"/>
      <c r="GK68" s="195"/>
      <c r="GL68" s="195"/>
      <c r="GM68" s="195"/>
      <c r="GN68" s="195"/>
      <c r="GO68" s="195"/>
      <c r="GP68" s="195"/>
      <c r="GQ68" s="195"/>
      <c r="GR68" s="195"/>
      <c r="GS68" s="195"/>
      <c r="GT68" s="195"/>
      <c r="GU68" s="195"/>
      <c r="GV68" s="195"/>
      <c r="GW68" s="195"/>
      <c r="GX68" s="195"/>
      <c r="GY68" s="195"/>
      <c r="GZ68" s="195"/>
      <c r="HA68" s="195"/>
      <c r="HB68" s="195"/>
      <c r="HC68" s="195"/>
      <c r="HD68" s="195"/>
      <c r="HE68" s="195"/>
      <c r="HF68" s="195"/>
      <c r="HG68" s="195"/>
      <c r="HH68" s="195"/>
      <c r="HI68" s="195"/>
      <c r="HJ68" s="195"/>
      <c r="HK68" s="195"/>
      <c r="HL68" s="195"/>
      <c r="HM68" s="195"/>
      <c r="HN68" s="195"/>
      <c r="HO68" s="195"/>
      <c r="HP68" s="195"/>
      <c r="HQ68" s="195"/>
      <c r="HR68" s="195"/>
      <c r="HS68" s="195"/>
      <c r="HT68" s="195"/>
      <c r="HU68" s="195"/>
      <c r="HV68" s="195"/>
      <c r="HW68" s="195"/>
      <c r="HX68" s="195"/>
      <c r="HY68" s="195"/>
      <c r="HZ68" s="195"/>
      <c r="IA68" s="195"/>
      <c r="IB68" s="195"/>
      <c r="IC68" s="195"/>
      <c r="ID68" s="195"/>
      <c r="IE68" s="195"/>
      <c r="IF68" s="195"/>
      <c r="IG68" s="195"/>
      <c r="IH68" s="195"/>
      <c r="II68" s="195"/>
      <c r="IJ68" s="195"/>
      <c r="IK68" s="195"/>
      <c r="IL68" s="195"/>
      <c r="IM68" s="195"/>
      <c r="IN68" s="195"/>
      <c r="IO68" s="195"/>
    </row>
    <row r="69" spans="1:249" s="69" customFormat="1" ht="16.5" thickBot="1">
      <c r="A69" s="62"/>
      <c r="B69" s="63"/>
      <c r="C69" s="228"/>
      <c r="D69" s="229"/>
      <c r="E69" s="217"/>
      <c r="F69" s="215"/>
      <c r="G69" s="228"/>
      <c r="H69" s="217"/>
      <c r="I69" s="217"/>
      <c r="J69" s="217"/>
      <c r="K69" s="228"/>
      <c r="L69" s="217"/>
      <c r="M69" s="217"/>
      <c r="N69" s="217"/>
      <c r="O69" s="228"/>
      <c r="P69" s="217"/>
      <c r="Q69" s="217"/>
      <c r="R69" s="217"/>
      <c r="S69" s="228"/>
      <c r="T69" s="217"/>
      <c r="U69" s="217"/>
      <c r="V69" s="217"/>
      <c r="W69" s="216"/>
      <c r="X69" s="217"/>
      <c r="Y69" s="68"/>
      <c r="Z69" s="68"/>
      <c r="AA69" s="68"/>
      <c r="AB69" s="68"/>
      <c r="AC69" s="68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</row>
    <row r="70" spans="1:249" s="76" customFormat="1" ht="18">
      <c r="A70" s="79" t="s">
        <v>93</v>
      </c>
      <c r="B70" s="87"/>
      <c r="C70" s="230"/>
      <c r="D70" s="231"/>
      <c r="E70" s="232">
        <v>0</v>
      </c>
      <c r="F70" s="233">
        <f>(($B$50*(1+$B$50)^$B$51)/((1+$B$50)^$B$51-1))*E70</f>
        <v>0</v>
      </c>
      <c r="G70" s="230"/>
      <c r="H70" s="232"/>
      <c r="I70" s="232">
        <v>35025</v>
      </c>
      <c r="J70" s="234">
        <f>(($B$50*(1+$B$50)^$B$51)/((1+$B$50)^$B$51-1))*I70</f>
        <v>2577.200805260225</v>
      </c>
      <c r="K70" s="230"/>
      <c r="L70" s="232"/>
      <c r="M70" s="232">
        <v>43150</v>
      </c>
      <c r="N70" s="233">
        <f>(($B$50*(1+$B$50)^$B$51)/((1+$B$50)^$B$51-1))*M70</f>
        <v>3175.0525266803343</v>
      </c>
      <c r="O70" s="235"/>
      <c r="P70" s="232"/>
      <c r="Q70" s="232">
        <v>173700.5</v>
      </c>
      <c r="R70" s="234">
        <f>(($B$50*(1+$B$50)^$B$51)/((1+$B$50)^$B$51-1))*Q70</f>
        <v>12781.186822957992</v>
      </c>
      <c r="S70" s="230"/>
      <c r="T70" s="232"/>
      <c r="U70" s="232">
        <v>77130.5</v>
      </c>
      <c r="V70" s="233">
        <f>(($B$50*(1+$B$50)^$B$51)/((1+$B$50)^$B$51-1))*U70</f>
        <v>5675.397193722306</v>
      </c>
      <c r="W70" s="236">
        <f>U70+Q70+M70+I70+E70</f>
        <v>329006</v>
      </c>
      <c r="X70" s="237">
        <f>V70+R70+N70+J70+F70</f>
        <v>24208.83734862086</v>
      </c>
      <c r="Y70" s="74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</row>
    <row r="71" spans="1:249" s="69" customFormat="1" ht="16.5" thickBot="1">
      <c r="A71" s="80" t="s">
        <v>68</v>
      </c>
      <c r="B71" s="81"/>
      <c r="C71" s="88"/>
      <c r="D71" s="82"/>
      <c r="E71" s="81"/>
      <c r="F71" s="89"/>
      <c r="G71" s="88"/>
      <c r="H71" s="90"/>
      <c r="I71" s="90"/>
      <c r="J71" s="92"/>
      <c r="K71" s="94"/>
      <c r="L71" s="90"/>
      <c r="M71" s="90"/>
      <c r="N71" s="91"/>
      <c r="O71" s="93"/>
      <c r="P71" s="90"/>
      <c r="Q71" s="90"/>
      <c r="R71" s="92"/>
      <c r="S71" s="94"/>
      <c r="T71" s="90"/>
      <c r="U71" s="90"/>
      <c r="V71" s="91"/>
      <c r="W71" s="95"/>
      <c r="X71" s="91"/>
      <c r="Y71" s="68"/>
      <c r="Z71" s="68"/>
      <c r="AA71" s="68"/>
      <c r="AB71" s="68"/>
      <c r="AC71" s="68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/>
    </row>
    <row r="72" spans="1:249" s="69" customFormat="1" ht="16.5" thickBot="1">
      <c r="A72" s="62"/>
      <c r="B72" s="63"/>
      <c r="C72" s="64"/>
      <c r="D72" s="65"/>
      <c r="E72" s="63"/>
      <c r="F72" s="66"/>
      <c r="G72" s="64"/>
      <c r="H72" s="63"/>
      <c r="I72" s="63"/>
      <c r="J72" s="63"/>
      <c r="K72" s="64"/>
      <c r="L72" s="63"/>
      <c r="M72" s="63"/>
      <c r="N72" s="63"/>
      <c r="O72" s="64"/>
      <c r="P72" s="63"/>
      <c r="Q72" s="63"/>
      <c r="R72" s="63"/>
      <c r="S72" s="64"/>
      <c r="T72" s="63"/>
      <c r="U72" s="63"/>
      <c r="V72" s="63"/>
      <c r="W72" s="67"/>
      <c r="X72" s="63"/>
      <c r="Y72" s="68"/>
      <c r="Z72" s="68"/>
      <c r="AA72" s="68"/>
      <c r="AB72" s="68"/>
      <c r="AC72" s="68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/>
    </row>
    <row r="73" spans="1:249" s="69" customFormat="1" ht="18">
      <c r="A73" s="96" t="s">
        <v>67</v>
      </c>
      <c r="B73" s="97"/>
      <c r="C73" s="103"/>
      <c r="D73" s="98"/>
      <c r="E73" s="97"/>
      <c r="F73" s="104"/>
      <c r="G73" s="103"/>
      <c r="H73" s="97"/>
      <c r="I73" s="105"/>
      <c r="J73" s="107"/>
      <c r="K73" s="109"/>
      <c r="L73" s="105"/>
      <c r="M73" s="105"/>
      <c r="N73" s="106"/>
      <c r="O73" s="108"/>
      <c r="P73" s="105"/>
      <c r="Q73" s="105"/>
      <c r="R73" s="107"/>
      <c r="S73" s="109"/>
      <c r="T73" s="105"/>
      <c r="U73" s="105"/>
      <c r="V73" s="106"/>
      <c r="W73" s="110"/>
      <c r="X73" s="106"/>
      <c r="Y73" s="68"/>
      <c r="Z73" s="68"/>
      <c r="AA73" s="68"/>
      <c r="AB73" s="68"/>
      <c r="AC73" s="68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/>
    </row>
    <row r="74" spans="1:249" s="72" customFormat="1" ht="31.5" customHeight="1">
      <c r="A74" s="99" t="s">
        <v>18</v>
      </c>
      <c r="B74" s="201"/>
      <c r="C74" s="197"/>
      <c r="D74" s="198"/>
      <c r="E74" s="199"/>
      <c r="F74" s="200"/>
      <c r="G74" s="197"/>
      <c r="H74" s="199"/>
      <c r="I74" s="199"/>
      <c r="J74" s="201"/>
      <c r="K74" s="197">
        <v>260</v>
      </c>
      <c r="L74" s="199"/>
      <c r="M74" s="199">
        <f>K74*$B59</f>
        <v>23400</v>
      </c>
      <c r="N74" s="202">
        <f>(($B$49*(1+$B$49)^$B$51)/((1+$B$49)^$B$51-1))*M74</f>
        <v>1431.0672041317953</v>
      </c>
      <c r="O74" s="364">
        <v>456</v>
      </c>
      <c r="P74" s="365"/>
      <c r="Q74" s="365">
        <f>O74*$B59</f>
        <v>41040</v>
      </c>
      <c r="R74" s="366">
        <f aca="true" t="shared" si="34" ref="R74:R82">(($B$49*(1+$B$49)^$B$51)/((1+$B$49)^$B$51-1))*Q74</f>
        <v>2509.871711861918</v>
      </c>
      <c r="S74" s="197"/>
      <c r="T74" s="199"/>
      <c r="U74" s="199"/>
      <c r="V74" s="202"/>
      <c r="W74" s="203">
        <f aca="true" t="shared" si="35" ref="W74:W79">U74+Q74+M74+I74+E74</f>
        <v>64440</v>
      </c>
      <c r="X74" s="202">
        <f>(($B$49*(1+$B$49)^$B$51)/((1+$B$49)^$B$51-1))*W74</f>
        <v>3940.938915993713</v>
      </c>
      <c r="Y74" s="71"/>
      <c r="Z74" s="33"/>
      <c r="AA74" s="33"/>
      <c r="AB74" s="33"/>
      <c r="AC74" s="33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</row>
    <row r="75" spans="1:29" ht="31.5" customHeight="1">
      <c r="A75" s="85" t="s">
        <v>12</v>
      </c>
      <c r="B75" s="208"/>
      <c r="C75" s="204"/>
      <c r="D75" s="205"/>
      <c r="E75" s="206"/>
      <c r="F75" s="207"/>
      <c r="G75" s="204"/>
      <c r="H75" s="206"/>
      <c r="I75" s="206"/>
      <c r="J75" s="208"/>
      <c r="K75" s="204">
        <v>321</v>
      </c>
      <c r="L75" s="206"/>
      <c r="M75" s="206">
        <f>K75*$B60</f>
        <v>46545</v>
      </c>
      <c r="N75" s="209">
        <f>(($B$49*(1+$B$49)^$B$51)/((1+$B$49)^$B$51-1))*M75</f>
        <v>2846.5394451416414</v>
      </c>
      <c r="O75" s="367">
        <v>420</v>
      </c>
      <c r="P75" s="368"/>
      <c r="Q75" s="368">
        <f>O75*$B60</f>
        <v>60900</v>
      </c>
      <c r="R75" s="369">
        <f t="shared" si="34"/>
        <v>3724.444133830185</v>
      </c>
      <c r="S75" s="204"/>
      <c r="T75" s="206"/>
      <c r="U75" s="206"/>
      <c r="V75" s="209"/>
      <c r="W75" s="210">
        <f t="shared" si="35"/>
        <v>107445</v>
      </c>
      <c r="X75" s="209">
        <f>(($B$49*(1+$B$49)^$B$51)/((1+$B$49)^$B$51-1))*W75</f>
        <v>6570.983578971826</v>
      </c>
      <c r="Y75" s="31"/>
      <c r="Z75" s="3"/>
      <c r="AA75" s="3"/>
      <c r="AB75" s="3"/>
      <c r="AC75" s="3"/>
    </row>
    <row r="76" spans="1:29" ht="31.5" customHeight="1">
      <c r="A76" s="100" t="s">
        <v>55</v>
      </c>
      <c r="B76" s="208">
        <v>650</v>
      </c>
      <c r="C76" s="204"/>
      <c r="D76" s="205"/>
      <c r="E76" s="206"/>
      <c r="F76" s="207"/>
      <c r="G76" s="204"/>
      <c r="H76" s="206"/>
      <c r="I76" s="206"/>
      <c r="J76" s="208"/>
      <c r="K76" s="204">
        <v>113</v>
      </c>
      <c r="L76" s="206">
        <f>M76/K76</f>
        <v>650</v>
      </c>
      <c r="M76" s="206">
        <f>K76*$B76</f>
        <v>73450</v>
      </c>
      <c r="N76" s="209">
        <f>(($B$49*(1+$B$49)^$B$51)/((1+$B$49)^$B$51-1))*M76</f>
        <v>4491.96094630258</v>
      </c>
      <c r="O76" s="367">
        <v>133</v>
      </c>
      <c r="P76" s="368">
        <f>Q76/O76</f>
        <v>650</v>
      </c>
      <c r="Q76" s="368">
        <f>O76*$B76</f>
        <v>86450</v>
      </c>
      <c r="R76" s="369">
        <f t="shared" si="34"/>
        <v>5286.9982819313545</v>
      </c>
      <c r="S76" s="204"/>
      <c r="T76" s="206"/>
      <c r="U76" s="206"/>
      <c r="V76" s="209"/>
      <c r="W76" s="210">
        <f t="shared" si="35"/>
        <v>159900</v>
      </c>
      <c r="X76" s="209">
        <f>(($B$49*(1+$B$49)^$B$51)/((1+$B$49)^$B$51-1))*W76</f>
        <v>9778.959228233934</v>
      </c>
      <c r="Y76" s="31"/>
      <c r="Z76" s="3"/>
      <c r="AA76" s="3"/>
      <c r="AB76" s="3"/>
      <c r="AC76" s="3"/>
    </row>
    <row r="77" spans="1:29" ht="31.5" customHeight="1">
      <c r="A77" s="100" t="s">
        <v>56</v>
      </c>
      <c r="B77" s="208"/>
      <c r="C77" s="204"/>
      <c r="D77" s="205"/>
      <c r="E77" s="206"/>
      <c r="F77" s="207"/>
      <c r="G77" s="204"/>
      <c r="H77" s="206"/>
      <c r="I77" s="206"/>
      <c r="J77" s="208"/>
      <c r="K77" s="204"/>
      <c r="L77" s="206"/>
      <c r="M77" s="206"/>
      <c r="N77" s="209"/>
      <c r="O77" s="367"/>
      <c r="P77" s="368"/>
      <c r="Q77" s="368">
        <v>3800</v>
      </c>
      <c r="R77" s="369">
        <f t="shared" si="34"/>
        <v>232.3955288761035</v>
      </c>
      <c r="S77" s="204"/>
      <c r="T77" s="206"/>
      <c r="U77" s="206"/>
      <c r="V77" s="209"/>
      <c r="W77" s="210">
        <f t="shared" si="35"/>
        <v>3800</v>
      </c>
      <c r="X77" s="209">
        <f>(($B$49*(1+$B$49)^$B$51)/((1+$B$49)^$B$51-1))*W77</f>
        <v>232.3955288761035</v>
      </c>
      <c r="Y77" s="31"/>
      <c r="Z77" s="3"/>
      <c r="AA77" s="3"/>
      <c r="AB77" s="3"/>
      <c r="AC77" s="3"/>
    </row>
    <row r="78" spans="1:29" ht="31.5" customHeight="1">
      <c r="A78" s="100" t="s">
        <v>57</v>
      </c>
      <c r="B78" s="49"/>
      <c r="C78" s="204"/>
      <c r="D78" s="205"/>
      <c r="E78" s="206"/>
      <c r="F78" s="207"/>
      <c r="G78" s="204"/>
      <c r="H78" s="206"/>
      <c r="I78" s="206"/>
      <c r="J78" s="208"/>
      <c r="K78" s="204"/>
      <c r="L78" s="206"/>
      <c r="M78" s="206"/>
      <c r="N78" s="209"/>
      <c r="O78" s="367"/>
      <c r="P78" s="368"/>
      <c r="Q78" s="368">
        <v>2800</v>
      </c>
      <c r="R78" s="369">
        <f t="shared" si="34"/>
        <v>171.23881075081312</v>
      </c>
      <c r="S78" s="204"/>
      <c r="T78" s="206"/>
      <c r="U78" s="206"/>
      <c r="V78" s="209"/>
      <c r="W78" s="210">
        <f t="shared" si="35"/>
        <v>2800</v>
      </c>
      <c r="X78" s="209">
        <f>(($B$49*(1+$B$49)^$B$51)/((1+$B$49)^$B$51-1))*W78</f>
        <v>171.23881075081312</v>
      </c>
      <c r="Y78" s="31"/>
      <c r="Z78" s="3"/>
      <c r="AA78" s="3"/>
      <c r="AB78" s="3"/>
      <c r="AC78" s="3"/>
    </row>
    <row r="79" spans="1:249" s="61" customFormat="1" ht="31.5" customHeight="1" thickBot="1">
      <c r="A79" s="101" t="s">
        <v>53</v>
      </c>
      <c r="B79" s="57"/>
      <c r="C79" s="323"/>
      <c r="D79" s="330"/>
      <c r="E79" s="324"/>
      <c r="F79" s="331"/>
      <c r="G79" s="323"/>
      <c r="H79" s="324"/>
      <c r="I79" s="324"/>
      <c r="J79" s="332"/>
      <c r="K79" s="323"/>
      <c r="L79" s="324"/>
      <c r="M79" s="324">
        <f>SUM(M74:M78)</f>
        <v>143395</v>
      </c>
      <c r="N79" s="325">
        <f>SUM(N74:N78)</f>
        <v>8769.567595576016</v>
      </c>
      <c r="O79" s="370"/>
      <c r="P79" s="371"/>
      <c r="Q79" s="371">
        <f>SUM(Q74:Q78)</f>
        <v>194990</v>
      </c>
      <c r="R79" s="372">
        <f>SUM(R74:R78)</f>
        <v>11924.948467250371</v>
      </c>
      <c r="S79" s="323"/>
      <c r="T79" s="324"/>
      <c r="U79" s="324"/>
      <c r="V79" s="325"/>
      <c r="W79" s="333">
        <f t="shared" si="35"/>
        <v>338385</v>
      </c>
      <c r="X79" s="328">
        <f>V79+R79+N79+J79+F79</f>
        <v>20694.516062826387</v>
      </c>
      <c r="Y79" s="58"/>
      <c r="Z79" s="59"/>
      <c r="AA79" s="59"/>
      <c r="AB79" s="59"/>
      <c r="AC79" s="59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249" s="317" customFormat="1" ht="31.5" customHeight="1">
      <c r="A80" s="335" t="s">
        <v>88</v>
      </c>
      <c r="B80" s="336"/>
      <c r="C80" s="337"/>
      <c r="D80" s="338"/>
      <c r="E80" s="339"/>
      <c r="F80" s="340"/>
      <c r="G80" s="337"/>
      <c r="H80" s="339"/>
      <c r="I80" s="339"/>
      <c r="J80" s="339"/>
      <c r="K80" s="337"/>
      <c r="L80" s="339"/>
      <c r="M80" s="339"/>
      <c r="N80" s="339"/>
      <c r="O80" s="349"/>
      <c r="P80" s="339"/>
      <c r="Q80" s="339">
        <v>420000</v>
      </c>
      <c r="R80" s="350">
        <f t="shared" si="34"/>
        <v>25685.821612621967</v>
      </c>
      <c r="S80" s="337"/>
      <c r="T80" s="339"/>
      <c r="U80" s="339"/>
      <c r="V80" s="339"/>
      <c r="W80" s="353"/>
      <c r="X80" s="341"/>
      <c r="Y80" s="64"/>
      <c r="Z80" s="64"/>
      <c r="AA80" s="64"/>
      <c r="AB80" s="64"/>
      <c r="AC80" s="64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  <c r="FP80" s="195"/>
      <c r="FQ80" s="195"/>
      <c r="FR80" s="195"/>
      <c r="FS80" s="195"/>
      <c r="FT80" s="195"/>
      <c r="FU80" s="195"/>
      <c r="FV80" s="195"/>
      <c r="FW80" s="195"/>
      <c r="FX80" s="195"/>
      <c r="FY80" s="195"/>
      <c r="FZ80" s="195"/>
      <c r="GA80" s="195"/>
      <c r="GB80" s="195"/>
      <c r="GC80" s="195"/>
      <c r="GD80" s="195"/>
      <c r="GE80" s="195"/>
      <c r="GF80" s="195"/>
      <c r="GG80" s="195"/>
      <c r="GH80" s="195"/>
      <c r="GI80" s="195"/>
      <c r="GJ80" s="195"/>
      <c r="GK80" s="195"/>
      <c r="GL80" s="195"/>
      <c r="GM80" s="195"/>
      <c r="GN80" s="195"/>
      <c r="GO80" s="195"/>
      <c r="GP80" s="195"/>
      <c r="GQ80" s="195"/>
      <c r="GR80" s="195"/>
      <c r="GS80" s="195"/>
      <c r="GT80" s="195"/>
      <c r="GU80" s="195"/>
      <c r="GV80" s="195"/>
      <c r="GW80" s="195"/>
      <c r="GX80" s="195"/>
      <c r="GY80" s="195"/>
      <c r="GZ80" s="195"/>
      <c r="HA80" s="195"/>
      <c r="HB80" s="195"/>
      <c r="HC80" s="195"/>
      <c r="HD80" s="195"/>
      <c r="HE80" s="195"/>
      <c r="HF80" s="195"/>
      <c r="HG80" s="195"/>
      <c r="HH80" s="195"/>
      <c r="HI80" s="195"/>
      <c r="HJ80" s="195"/>
      <c r="HK80" s="195"/>
      <c r="HL80" s="195"/>
      <c r="HM80" s="195"/>
      <c r="HN80" s="195"/>
      <c r="HO80" s="195"/>
      <c r="HP80" s="195"/>
      <c r="HQ80" s="195"/>
      <c r="HR80" s="195"/>
      <c r="HS80" s="195"/>
      <c r="HT80" s="195"/>
      <c r="HU80" s="195"/>
      <c r="HV80" s="195"/>
      <c r="HW80" s="195"/>
      <c r="HX80" s="195"/>
      <c r="HY80" s="195"/>
      <c r="HZ80" s="195"/>
      <c r="IA80" s="195"/>
      <c r="IB80" s="195"/>
      <c r="IC80" s="195"/>
      <c r="ID80" s="195"/>
      <c r="IE80" s="195"/>
      <c r="IF80" s="195"/>
      <c r="IG80" s="195"/>
      <c r="IH80" s="195"/>
      <c r="II80" s="195"/>
      <c r="IJ80" s="195"/>
      <c r="IK80" s="195"/>
      <c r="IL80" s="195"/>
      <c r="IM80" s="195"/>
      <c r="IN80" s="195"/>
      <c r="IO80" s="195"/>
    </row>
    <row r="81" spans="1:249" s="317" customFormat="1" ht="32.25" customHeight="1">
      <c r="A81" s="342" t="s">
        <v>86</v>
      </c>
      <c r="B81" s="343"/>
      <c r="C81" s="344"/>
      <c r="D81" s="345"/>
      <c r="E81" s="343"/>
      <c r="F81" s="343"/>
      <c r="G81" s="344"/>
      <c r="H81" s="343"/>
      <c r="I81" s="343"/>
      <c r="J81" s="343"/>
      <c r="K81" s="344"/>
      <c r="L81" s="343"/>
      <c r="M81" s="343"/>
      <c r="N81" s="343"/>
      <c r="O81" s="356" t="s">
        <v>87</v>
      </c>
      <c r="P81" s="346">
        <v>0.8</v>
      </c>
      <c r="Q81" s="347">
        <f>-Q80*P81</f>
        <v>-336000</v>
      </c>
      <c r="R81" s="351"/>
      <c r="S81" s="344"/>
      <c r="T81" s="343"/>
      <c r="U81" s="343"/>
      <c r="V81" s="343"/>
      <c r="W81" s="354"/>
      <c r="X81" s="348"/>
      <c r="Y81" s="64"/>
      <c r="Z81" s="64"/>
      <c r="AA81" s="64"/>
      <c r="AB81" s="64"/>
      <c r="AC81" s="64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  <c r="FP81" s="195"/>
      <c r="FQ81" s="195"/>
      <c r="FR81" s="195"/>
      <c r="FS81" s="195"/>
      <c r="FT81" s="195"/>
      <c r="FU81" s="195"/>
      <c r="FV81" s="195"/>
      <c r="FW81" s="195"/>
      <c r="FX81" s="195"/>
      <c r="FY81" s="195"/>
      <c r="FZ81" s="195"/>
      <c r="GA81" s="195"/>
      <c r="GB81" s="195"/>
      <c r="GC81" s="195"/>
      <c r="GD81" s="195"/>
      <c r="GE81" s="195"/>
      <c r="GF81" s="195"/>
      <c r="GG81" s="195"/>
      <c r="GH81" s="195"/>
      <c r="GI81" s="195"/>
      <c r="GJ81" s="195"/>
      <c r="GK81" s="195"/>
      <c r="GL81" s="195"/>
      <c r="GM81" s="195"/>
      <c r="GN81" s="195"/>
      <c r="GO81" s="195"/>
      <c r="GP81" s="195"/>
      <c r="GQ81" s="195"/>
      <c r="GR81" s="195"/>
      <c r="GS81" s="195"/>
      <c r="GT81" s="195"/>
      <c r="GU81" s="195"/>
      <c r="GV81" s="195"/>
      <c r="GW81" s="195"/>
      <c r="GX81" s="195"/>
      <c r="GY81" s="195"/>
      <c r="GZ81" s="195"/>
      <c r="HA81" s="195"/>
      <c r="HB81" s="195"/>
      <c r="HC81" s="195"/>
      <c r="HD81" s="195"/>
      <c r="HE81" s="195"/>
      <c r="HF81" s="195"/>
      <c r="HG81" s="195"/>
      <c r="HH81" s="195"/>
      <c r="HI81" s="195"/>
      <c r="HJ81" s="195"/>
      <c r="HK81" s="195"/>
      <c r="HL81" s="195"/>
      <c r="HM81" s="195"/>
      <c r="HN81" s="195"/>
      <c r="HO81" s="195"/>
      <c r="HP81" s="195"/>
      <c r="HQ81" s="195"/>
      <c r="HR81" s="195"/>
      <c r="HS81" s="195"/>
      <c r="HT81" s="195"/>
      <c r="HU81" s="195"/>
      <c r="HV81" s="195"/>
      <c r="HW81" s="195"/>
      <c r="HX81" s="195"/>
      <c r="HY81" s="195"/>
      <c r="HZ81" s="195"/>
      <c r="IA81" s="195"/>
      <c r="IB81" s="195"/>
      <c r="IC81" s="195"/>
      <c r="ID81" s="195"/>
      <c r="IE81" s="195"/>
      <c r="IF81" s="195"/>
      <c r="IG81" s="195"/>
      <c r="IH81" s="195"/>
      <c r="II81" s="195"/>
      <c r="IJ81" s="195"/>
      <c r="IK81" s="195"/>
      <c r="IL81" s="195"/>
      <c r="IM81" s="195"/>
      <c r="IN81" s="195"/>
      <c r="IO81" s="195"/>
    </row>
    <row r="82" spans="1:249" s="317" customFormat="1" ht="32.25" customHeight="1" thickBot="1">
      <c r="A82" s="318" t="s">
        <v>15</v>
      </c>
      <c r="B82" s="319"/>
      <c r="C82" s="320"/>
      <c r="D82" s="321"/>
      <c r="E82" s="319"/>
      <c r="F82" s="319"/>
      <c r="G82" s="320"/>
      <c r="H82" s="319"/>
      <c r="I82" s="319"/>
      <c r="J82" s="319"/>
      <c r="K82" s="320"/>
      <c r="L82" s="319"/>
      <c r="M82" s="319"/>
      <c r="N82" s="319"/>
      <c r="O82" s="357" t="s">
        <v>89</v>
      </c>
      <c r="P82" s="334">
        <f>1-P81</f>
        <v>0.19999999999999996</v>
      </c>
      <c r="Q82" s="319">
        <f>Q80*P82</f>
        <v>83999.99999999999</v>
      </c>
      <c r="R82" s="352">
        <f t="shared" si="34"/>
        <v>5137.164322524392</v>
      </c>
      <c r="S82" s="320"/>
      <c r="T82" s="319"/>
      <c r="U82" s="319"/>
      <c r="V82" s="319"/>
      <c r="W82" s="355">
        <f>U79+Q82+M79+I79+E79</f>
        <v>227395</v>
      </c>
      <c r="X82" s="322">
        <f>V79+R82+N79+J79+F79</f>
        <v>13906.73191810041</v>
      </c>
      <c r="Y82" s="64"/>
      <c r="Z82" s="64"/>
      <c r="AA82" s="64"/>
      <c r="AB82" s="64"/>
      <c r="AC82" s="64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  <c r="FP82" s="195"/>
      <c r="FQ82" s="195"/>
      <c r="FR82" s="195"/>
      <c r="FS82" s="195"/>
      <c r="FT82" s="195"/>
      <c r="FU82" s="195"/>
      <c r="FV82" s="195"/>
      <c r="FW82" s="195"/>
      <c r="FX82" s="195"/>
      <c r="FY82" s="195"/>
      <c r="FZ82" s="195"/>
      <c r="GA82" s="195"/>
      <c r="GB82" s="195"/>
      <c r="GC82" s="195"/>
      <c r="GD82" s="195"/>
      <c r="GE82" s="195"/>
      <c r="GF82" s="195"/>
      <c r="GG82" s="195"/>
      <c r="GH82" s="195"/>
      <c r="GI82" s="195"/>
      <c r="GJ82" s="195"/>
      <c r="GK82" s="195"/>
      <c r="GL82" s="195"/>
      <c r="GM82" s="195"/>
      <c r="GN82" s="195"/>
      <c r="GO82" s="195"/>
      <c r="GP82" s="195"/>
      <c r="GQ82" s="195"/>
      <c r="GR82" s="195"/>
      <c r="GS82" s="195"/>
      <c r="GT82" s="195"/>
      <c r="GU82" s="195"/>
      <c r="GV82" s="195"/>
      <c r="GW82" s="195"/>
      <c r="GX82" s="195"/>
      <c r="GY82" s="195"/>
      <c r="GZ82" s="195"/>
      <c r="HA82" s="195"/>
      <c r="HB82" s="195"/>
      <c r="HC82" s="195"/>
      <c r="HD82" s="195"/>
      <c r="HE82" s="195"/>
      <c r="HF82" s="195"/>
      <c r="HG82" s="195"/>
      <c r="HH82" s="195"/>
      <c r="HI82" s="195"/>
      <c r="HJ82" s="195"/>
      <c r="HK82" s="195"/>
      <c r="HL82" s="195"/>
      <c r="HM82" s="195"/>
      <c r="HN82" s="195"/>
      <c r="HO82" s="195"/>
      <c r="HP82" s="195"/>
      <c r="HQ82" s="195"/>
      <c r="HR82" s="195"/>
      <c r="HS82" s="195"/>
      <c r="HT82" s="195"/>
      <c r="HU82" s="195"/>
      <c r="HV82" s="195"/>
      <c r="HW82" s="195"/>
      <c r="HX82" s="195"/>
      <c r="HY82" s="195"/>
      <c r="HZ82" s="195"/>
      <c r="IA82" s="195"/>
      <c r="IB82" s="195"/>
      <c r="IC82" s="195"/>
      <c r="ID82" s="195"/>
      <c r="IE82" s="195"/>
      <c r="IF82" s="195"/>
      <c r="IG82" s="195"/>
      <c r="IH82" s="195"/>
      <c r="II82" s="195"/>
      <c r="IJ82" s="195"/>
      <c r="IK82" s="195"/>
      <c r="IL82" s="195"/>
      <c r="IM82" s="195"/>
      <c r="IN82" s="195"/>
      <c r="IO82" s="195"/>
    </row>
    <row r="83" spans="1:249" s="69" customFormat="1" ht="15.75" thickBot="1">
      <c r="A83" s="73"/>
      <c r="B83" s="63"/>
      <c r="C83" s="215"/>
      <c r="D83" s="216"/>
      <c r="E83" s="217"/>
      <c r="F83" s="215"/>
      <c r="G83" s="215"/>
      <c r="H83" s="217"/>
      <c r="I83" s="217"/>
      <c r="J83" s="217"/>
      <c r="K83" s="215"/>
      <c r="L83" s="217"/>
      <c r="M83" s="217"/>
      <c r="N83" s="217"/>
      <c r="O83" s="215"/>
      <c r="P83" s="217"/>
      <c r="Q83" s="217"/>
      <c r="R83" s="217"/>
      <c r="S83" s="215"/>
      <c r="T83" s="217"/>
      <c r="U83" s="217"/>
      <c r="V83" s="217"/>
      <c r="W83" s="215"/>
      <c r="X83" s="217"/>
      <c r="Y83" s="68"/>
      <c r="Z83" s="68"/>
      <c r="AA83" s="68"/>
      <c r="AB83" s="68"/>
      <c r="AC83" s="68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  <c r="IJ83" s="66"/>
      <c r="IK83" s="66"/>
      <c r="IL83" s="66"/>
      <c r="IM83" s="66"/>
      <c r="IN83" s="66"/>
      <c r="IO83" s="66"/>
    </row>
    <row r="84" spans="1:249" s="72" customFormat="1" ht="18.75" thickBot="1">
      <c r="A84" s="102" t="s">
        <v>60</v>
      </c>
      <c r="B84" s="196"/>
      <c r="C84" s="218"/>
      <c r="D84" s="219"/>
      <c r="E84" s="220">
        <f>E79+E70+E66</f>
        <v>178140</v>
      </c>
      <c r="F84" s="221">
        <f>F79+F70+F66</f>
        <v>10894.45776683923</v>
      </c>
      <c r="G84" s="218"/>
      <c r="H84" s="220"/>
      <c r="I84" s="220">
        <f>I79+I70+I66</f>
        <v>307200</v>
      </c>
      <c r="J84" s="221">
        <f>J79+J70+J66</f>
        <v>19719.531849144674</v>
      </c>
      <c r="K84" s="218"/>
      <c r="L84" s="220"/>
      <c r="M84" s="220">
        <f>M79+M70+M66</f>
        <v>371065</v>
      </c>
      <c r="N84" s="221">
        <f>N79+N70+N66</f>
        <v>23229.257750734934</v>
      </c>
      <c r="O84" s="218"/>
      <c r="P84" s="220"/>
      <c r="Q84" s="220">
        <f>Q79+Q70+Q66</f>
        <v>880365.5</v>
      </c>
      <c r="R84" s="221">
        <f>R79+R70+R66</f>
        <v>55998.49903696633</v>
      </c>
      <c r="S84" s="218"/>
      <c r="T84" s="220"/>
      <c r="U84" s="220">
        <f>U79+U70+U66</f>
        <v>411030.5</v>
      </c>
      <c r="V84" s="221">
        <f>V79+V70+V66</f>
        <v>26592.626663890307</v>
      </c>
      <c r="W84" s="222">
        <f>W79+W70+W66</f>
        <v>2147801</v>
      </c>
      <c r="X84" s="221">
        <f>X79+X70+X66</f>
        <v>136434.37306757545</v>
      </c>
      <c r="Y84" s="71"/>
      <c r="Z84" s="33"/>
      <c r="AA84" s="33"/>
      <c r="AB84" s="33"/>
      <c r="AC84" s="33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</row>
    <row r="85" spans="1:249" s="70" customFormat="1" ht="15.75" thickBot="1">
      <c r="A85" s="194"/>
      <c r="B85" s="192"/>
      <c r="C85" s="223"/>
      <c r="D85" s="224"/>
      <c r="E85" s="225"/>
      <c r="F85" s="223"/>
      <c r="G85" s="223"/>
      <c r="H85" s="225"/>
      <c r="I85" s="225"/>
      <c r="J85" s="223"/>
      <c r="K85" s="225"/>
      <c r="L85" s="225"/>
      <c r="M85" s="223"/>
      <c r="N85" s="225"/>
      <c r="O85" s="225"/>
      <c r="P85" s="223"/>
      <c r="Q85" s="225"/>
      <c r="R85" s="225"/>
      <c r="S85" s="223"/>
      <c r="T85" s="223"/>
      <c r="U85" s="223"/>
      <c r="V85" s="225"/>
      <c r="W85" s="223"/>
      <c r="X85" s="223"/>
      <c r="Y85" s="36"/>
      <c r="Z85" s="36"/>
      <c r="AA85" s="36"/>
      <c r="AB85" s="36"/>
      <c r="AC85" s="36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</row>
    <row r="86" spans="1:249" s="310" customFormat="1" ht="18">
      <c r="A86" s="253" t="s">
        <v>76</v>
      </c>
      <c r="B86" s="254"/>
      <c r="C86" s="255"/>
      <c r="D86" s="256"/>
      <c r="E86" s="256"/>
      <c r="F86" s="257">
        <v>8500</v>
      </c>
      <c r="G86" s="255"/>
      <c r="H86" s="256"/>
      <c r="I86" s="256"/>
      <c r="J86" s="257">
        <v>11100</v>
      </c>
      <c r="K86" s="255"/>
      <c r="L86" s="256"/>
      <c r="M86" s="256"/>
      <c r="N86" s="257">
        <v>9250</v>
      </c>
      <c r="O86" s="255"/>
      <c r="P86" s="256"/>
      <c r="Q86" s="256"/>
      <c r="R86" s="257">
        <v>20050</v>
      </c>
      <c r="S86" s="255"/>
      <c r="T86" s="256"/>
      <c r="U86" s="256"/>
      <c r="V86" s="257">
        <v>12900</v>
      </c>
      <c r="W86" s="258"/>
      <c r="X86" s="259"/>
      <c r="Y86" s="260"/>
      <c r="Z86" s="307"/>
      <c r="AA86" s="307"/>
      <c r="AB86" s="307"/>
      <c r="AC86" s="307"/>
      <c r="AD86" s="308"/>
      <c r="AE86" s="309"/>
      <c r="AF86" s="308"/>
      <c r="AG86" s="309"/>
      <c r="AH86" s="309"/>
      <c r="AI86" s="308"/>
      <c r="AJ86" s="309"/>
      <c r="AK86" s="308"/>
      <c r="AL86" s="309"/>
      <c r="AM86" s="308"/>
      <c r="AN86" s="309"/>
      <c r="AO86" s="308"/>
      <c r="AP86" s="309"/>
      <c r="AQ86" s="309"/>
      <c r="AR86" s="308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09"/>
      <c r="BG86" s="309"/>
      <c r="BH86" s="309"/>
      <c r="BI86" s="309"/>
      <c r="BJ86" s="309"/>
      <c r="BK86" s="309"/>
      <c r="BL86" s="309"/>
      <c r="BM86" s="309"/>
      <c r="BN86" s="309"/>
      <c r="BO86" s="309"/>
      <c r="BP86" s="309"/>
      <c r="BQ86" s="309"/>
      <c r="BR86" s="309"/>
      <c r="BS86" s="309"/>
      <c r="BT86" s="309"/>
      <c r="BU86" s="309"/>
      <c r="BV86" s="309"/>
      <c r="BW86" s="309"/>
      <c r="BX86" s="309"/>
      <c r="BY86" s="309"/>
      <c r="BZ86" s="309"/>
      <c r="CA86" s="309"/>
      <c r="CB86" s="309"/>
      <c r="CC86" s="309"/>
      <c r="CD86" s="309"/>
      <c r="CE86" s="309"/>
      <c r="CF86" s="309"/>
      <c r="CG86" s="309"/>
      <c r="CH86" s="309"/>
      <c r="CI86" s="309"/>
      <c r="CJ86" s="309"/>
      <c r="CK86" s="309"/>
      <c r="CL86" s="309"/>
      <c r="CM86" s="309"/>
      <c r="CN86" s="309"/>
      <c r="CO86" s="309"/>
      <c r="CP86" s="309"/>
      <c r="CQ86" s="309"/>
      <c r="CR86" s="309"/>
      <c r="CS86" s="309"/>
      <c r="CT86" s="309"/>
      <c r="CU86" s="309"/>
      <c r="CV86" s="309"/>
      <c r="CW86" s="309"/>
      <c r="CX86" s="309"/>
      <c r="CY86" s="309"/>
      <c r="CZ86" s="309"/>
      <c r="DA86" s="309"/>
      <c r="DB86" s="309"/>
      <c r="DC86" s="309"/>
      <c r="DD86" s="309"/>
      <c r="DE86" s="309"/>
      <c r="DF86" s="309"/>
      <c r="DG86" s="309"/>
      <c r="DH86" s="309"/>
      <c r="DI86" s="309"/>
      <c r="DJ86" s="309"/>
      <c r="DK86" s="309"/>
      <c r="DL86" s="309"/>
      <c r="DM86" s="309"/>
      <c r="DN86" s="309"/>
      <c r="DO86" s="309"/>
      <c r="DP86" s="309"/>
      <c r="DQ86" s="309"/>
      <c r="DR86" s="309"/>
      <c r="DS86" s="309"/>
      <c r="DT86" s="309"/>
      <c r="DU86" s="309"/>
      <c r="DV86" s="309"/>
      <c r="DW86" s="309"/>
      <c r="DX86" s="309"/>
      <c r="DY86" s="309"/>
      <c r="DZ86" s="309"/>
      <c r="EA86" s="309"/>
      <c r="EB86" s="309"/>
      <c r="EC86" s="309"/>
      <c r="ED86" s="309"/>
      <c r="EE86" s="309"/>
      <c r="EF86" s="309"/>
      <c r="EG86" s="309"/>
      <c r="EH86" s="309"/>
      <c r="EI86" s="309"/>
      <c r="EJ86" s="309"/>
      <c r="EK86" s="309"/>
      <c r="EL86" s="309"/>
      <c r="EM86" s="309"/>
      <c r="EN86" s="309"/>
      <c r="EO86" s="309"/>
      <c r="EP86" s="309"/>
      <c r="EQ86" s="309"/>
      <c r="ER86" s="309"/>
      <c r="ES86" s="309"/>
      <c r="ET86" s="309"/>
      <c r="EU86" s="309"/>
      <c r="EV86" s="309"/>
      <c r="EW86" s="309"/>
      <c r="EX86" s="309"/>
      <c r="EY86" s="309"/>
      <c r="EZ86" s="309"/>
      <c r="FA86" s="309"/>
      <c r="FB86" s="309"/>
      <c r="FC86" s="309"/>
      <c r="FD86" s="309"/>
      <c r="FE86" s="309"/>
      <c r="FF86" s="309"/>
      <c r="FG86" s="309"/>
      <c r="FH86" s="309"/>
      <c r="FI86" s="309"/>
      <c r="FJ86" s="309"/>
      <c r="FK86" s="309"/>
      <c r="FL86" s="309"/>
      <c r="FM86" s="309"/>
      <c r="FN86" s="309"/>
      <c r="FO86" s="309"/>
      <c r="FP86" s="309"/>
      <c r="FQ86" s="309"/>
      <c r="FR86" s="309"/>
      <c r="FS86" s="309"/>
      <c r="FT86" s="309"/>
      <c r="FU86" s="309"/>
      <c r="FV86" s="309"/>
      <c r="FW86" s="309"/>
      <c r="FX86" s="309"/>
      <c r="FY86" s="309"/>
      <c r="FZ86" s="309"/>
      <c r="GA86" s="309"/>
      <c r="GB86" s="309"/>
      <c r="GC86" s="309"/>
      <c r="GD86" s="309"/>
      <c r="GE86" s="309"/>
      <c r="GF86" s="309"/>
      <c r="GG86" s="309"/>
      <c r="GH86" s="309"/>
      <c r="GI86" s="309"/>
      <c r="GJ86" s="309"/>
      <c r="GK86" s="309"/>
      <c r="GL86" s="309"/>
      <c r="GM86" s="309"/>
      <c r="GN86" s="309"/>
      <c r="GO86" s="309"/>
      <c r="GP86" s="309"/>
      <c r="GQ86" s="309"/>
      <c r="GR86" s="309"/>
      <c r="GS86" s="309"/>
      <c r="GT86" s="309"/>
      <c r="GU86" s="309"/>
      <c r="GV86" s="309"/>
      <c r="GW86" s="309"/>
      <c r="GX86" s="309"/>
      <c r="GY86" s="309"/>
      <c r="GZ86" s="309"/>
      <c r="HA86" s="309"/>
      <c r="HB86" s="309"/>
      <c r="HC86" s="309"/>
      <c r="HD86" s="309"/>
      <c r="HE86" s="309"/>
      <c r="HF86" s="309"/>
      <c r="HG86" s="309"/>
      <c r="HH86" s="309"/>
      <c r="HI86" s="309"/>
      <c r="HJ86" s="309"/>
      <c r="HK86" s="309"/>
      <c r="HL86" s="309"/>
      <c r="HM86" s="309"/>
      <c r="HN86" s="309"/>
      <c r="HO86" s="309"/>
      <c r="HP86" s="309"/>
      <c r="HQ86" s="309"/>
      <c r="HR86" s="309"/>
      <c r="HS86" s="309"/>
      <c r="HT86" s="309"/>
      <c r="HU86" s="309"/>
      <c r="HV86" s="309"/>
      <c r="HW86" s="309"/>
      <c r="HX86" s="309"/>
      <c r="HY86" s="309"/>
      <c r="HZ86" s="309"/>
      <c r="IA86" s="309"/>
      <c r="IB86" s="309"/>
      <c r="IC86" s="309"/>
      <c r="ID86" s="309"/>
      <c r="IE86" s="309"/>
      <c r="IF86" s="309"/>
      <c r="IG86" s="309"/>
      <c r="IH86" s="309"/>
      <c r="II86" s="309"/>
      <c r="IJ86" s="309"/>
      <c r="IK86" s="309"/>
      <c r="IL86" s="309"/>
      <c r="IM86" s="309"/>
      <c r="IN86" s="309"/>
      <c r="IO86" s="309"/>
    </row>
    <row r="87" spans="1:249" s="313" customFormat="1" ht="16.5" thickBot="1">
      <c r="A87" s="262" t="s">
        <v>74</v>
      </c>
      <c r="B87" s="263"/>
      <c r="C87" s="264"/>
      <c r="D87" s="265"/>
      <c r="E87" s="265"/>
      <c r="F87" s="266"/>
      <c r="G87" s="264"/>
      <c r="H87" s="265"/>
      <c r="I87" s="265"/>
      <c r="J87" s="266"/>
      <c r="K87" s="264"/>
      <c r="L87" s="265"/>
      <c r="M87" s="265"/>
      <c r="N87" s="266"/>
      <c r="O87" s="264"/>
      <c r="P87" s="265"/>
      <c r="Q87" s="265"/>
      <c r="R87" s="266"/>
      <c r="S87" s="264"/>
      <c r="T87" s="265"/>
      <c r="U87" s="265"/>
      <c r="V87" s="267"/>
      <c r="W87" s="268"/>
      <c r="X87" s="268"/>
      <c r="Y87" s="252"/>
      <c r="Z87" s="311"/>
      <c r="AA87" s="311"/>
      <c r="AB87" s="311"/>
      <c r="AC87" s="311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2"/>
      <c r="BC87" s="312"/>
      <c r="BD87" s="312"/>
      <c r="BE87" s="312"/>
      <c r="BF87" s="312"/>
      <c r="BG87" s="312"/>
      <c r="BH87" s="312"/>
      <c r="BI87" s="312"/>
      <c r="BJ87" s="312"/>
      <c r="BK87" s="312"/>
      <c r="BL87" s="312"/>
      <c r="BM87" s="312"/>
      <c r="BN87" s="312"/>
      <c r="BO87" s="312"/>
      <c r="BP87" s="312"/>
      <c r="BQ87" s="312"/>
      <c r="BR87" s="312"/>
      <c r="BS87" s="312"/>
      <c r="BT87" s="312"/>
      <c r="BU87" s="312"/>
      <c r="BV87" s="312"/>
      <c r="BW87" s="312"/>
      <c r="BX87" s="312"/>
      <c r="BY87" s="312"/>
      <c r="BZ87" s="312"/>
      <c r="CA87" s="312"/>
      <c r="CB87" s="312"/>
      <c r="CC87" s="312"/>
      <c r="CD87" s="312"/>
      <c r="CE87" s="312"/>
      <c r="CF87" s="312"/>
      <c r="CG87" s="312"/>
      <c r="CH87" s="312"/>
      <c r="CI87" s="312"/>
      <c r="CJ87" s="312"/>
      <c r="CK87" s="312"/>
      <c r="CL87" s="312"/>
      <c r="CM87" s="312"/>
      <c r="CN87" s="312"/>
      <c r="CO87" s="312"/>
      <c r="CP87" s="312"/>
      <c r="CQ87" s="312"/>
      <c r="CR87" s="312"/>
      <c r="CS87" s="312"/>
      <c r="CT87" s="312"/>
      <c r="CU87" s="312"/>
      <c r="CV87" s="312"/>
      <c r="CW87" s="312"/>
      <c r="CX87" s="312"/>
      <c r="CY87" s="312"/>
      <c r="CZ87" s="312"/>
      <c r="DA87" s="312"/>
      <c r="DB87" s="312"/>
      <c r="DC87" s="312"/>
      <c r="DD87" s="312"/>
      <c r="DE87" s="312"/>
      <c r="DF87" s="312"/>
      <c r="DG87" s="312"/>
      <c r="DH87" s="312"/>
      <c r="DI87" s="312"/>
      <c r="DJ87" s="312"/>
      <c r="DK87" s="312"/>
      <c r="DL87" s="312"/>
      <c r="DM87" s="312"/>
      <c r="DN87" s="312"/>
      <c r="DO87" s="312"/>
      <c r="DP87" s="312"/>
      <c r="DQ87" s="312"/>
      <c r="DR87" s="312"/>
      <c r="DS87" s="312"/>
      <c r="DT87" s="312"/>
      <c r="DU87" s="312"/>
      <c r="DV87" s="312"/>
      <c r="DW87" s="312"/>
      <c r="DX87" s="312"/>
      <c r="DY87" s="312"/>
      <c r="DZ87" s="312"/>
      <c r="EA87" s="312"/>
      <c r="EB87" s="312"/>
      <c r="EC87" s="312"/>
      <c r="ED87" s="312"/>
      <c r="EE87" s="312"/>
      <c r="EF87" s="312"/>
      <c r="EG87" s="312"/>
      <c r="EH87" s="312"/>
      <c r="EI87" s="312"/>
      <c r="EJ87" s="312"/>
      <c r="EK87" s="312"/>
      <c r="EL87" s="312"/>
      <c r="EM87" s="312"/>
      <c r="EN87" s="312"/>
      <c r="EO87" s="312"/>
      <c r="EP87" s="312"/>
      <c r="EQ87" s="312"/>
      <c r="ER87" s="312"/>
      <c r="ES87" s="312"/>
      <c r="ET87" s="312"/>
      <c r="EU87" s="312"/>
      <c r="EV87" s="312"/>
      <c r="EW87" s="312"/>
      <c r="EX87" s="312"/>
      <c r="EY87" s="312"/>
      <c r="EZ87" s="312"/>
      <c r="FA87" s="312"/>
      <c r="FB87" s="312"/>
      <c r="FC87" s="312"/>
      <c r="FD87" s="312"/>
      <c r="FE87" s="312"/>
      <c r="FF87" s="312"/>
      <c r="FG87" s="312"/>
      <c r="FH87" s="312"/>
      <c r="FI87" s="312"/>
      <c r="FJ87" s="312"/>
      <c r="FK87" s="312"/>
      <c r="FL87" s="312"/>
      <c r="FM87" s="312"/>
      <c r="FN87" s="312"/>
      <c r="FO87" s="312"/>
      <c r="FP87" s="312"/>
      <c r="FQ87" s="312"/>
      <c r="FR87" s="312"/>
      <c r="FS87" s="312"/>
      <c r="FT87" s="312"/>
      <c r="FU87" s="312"/>
      <c r="FV87" s="312"/>
      <c r="FW87" s="312"/>
      <c r="FX87" s="312"/>
      <c r="FY87" s="312"/>
      <c r="FZ87" s="312"/>
      <c r="GA87" s="312"/>
      <c r="GB87" s="312"/>
      <c r="GC87" s="312"/>
      <c r="GD87" s="312"/>
      <c r="GE87" s="312"/>
      <c r="GF87" s="312"/>
      <c r="GG87" s="312"/>
      <c r="GH87" s="312"/>
      <c r="GI87" s="312"/>
      <c r="GJ87" s="312"/>
      <c r="GK87" s="312"/>
      <c r="GL87" s="312"/>
      <c r="GM87" s="312"/>
      <c r="GN87" s="312"/>
      <c r="GO87" s="312"/>
      <c r="GP87" s="312"/>
      <c r="GQ87" s="312"/>
      <c r="GR87" s="312"/>
      <c r="GS87" s="312"/>
      <c r="GT87" s="312"/>
      <c r="GU87" s="312"/>
      <c r="GV87" s="312"/>
      <c r="GW87" s="312"/>
      <c r="GX87" s="312"/>
      <c r="GY87" s="312"/>
      <c r="GZ87" s="312"/>
      <c r="HA87" s="312"/>
      <c r="HB87" s="312"/>
      <c r="HC87" s="312"/>
      <c r="HD87" s="312"/>
      <c r="HE87" s="312"/>
      <c r="HF87" s="312"/>
      <c r="HG87" s="312"/>
      <c r="HH87" s="312"/>
      <c r="HI87" s="312"/>
      <c r="HJ87" s="312"/>
      <c r="HK87" s="312"/>
      <c r="HL87" s="312"/>
      <c r="HM87" s="312"/>
      <c r="HN87" s="312"/>
      <c r="HO87" s="312"/>
      <c r="HP87" s="312"/>
      <c r="HQ87" s="312"/>
      <c r="HR87" s="312"/>
      <c r="HS87" s="312"/>
      <c r="HT87" s="312"/>
      <c r="HU87" s="312"/>
      <c r="HV87" s="312"/>
      <c r="HW87" s="312"/>
      <c r="HX87" s="312"/>
      <c r="HY87" s="312"/>
      <c r="HZ87" s="312"/>
      <c r="IA87" s="312"/>
      <c r="IB87" s="312"/>
      <c r="IC87" s="312"/>
      <c r="ID87" s="312"/>
      <c r="IE87" s="312"/>
      <c r="IF87" s="312"/>
      <c r="IG87" s="312"/>
      <c r="IH87" s="312"/>
      <c r="II87" s="312"/>
      <c r="IJ87" s="312"/>
      <c r="IK87" s="312"/>
      <c r="IL87" s="312"/>
      <c r="IM87" s="312"/>
      <c r="IN87" s="312"/>
      <c r="IO87" s="312"/>
    </row>
    <row r="88" spans="1:249" s="244" customFormat="1" ht="15.75">
      <c r="A88" s="240"/>
      <c r="B88" s="240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192"/>
      <c r="V88" s="241"/>
      <c r="W88" s="241"/>
      <c r="X88" s="241"/>
      <c r="Y88" s="241"/>
      <c r="Z88" s="242"/>
      <c r="AA88" s="242"/>
      <c r="AB88" s="242"/>
      <c r="AC88" s="242"/>
      <c r="AD88" s="193"/>
      <c r="AE88" s="193"/>
      <c r="AF88" s="193"/>
      <c r="AG88" s="193"/>
      <c r="AH88" s="193"/>
      <c r="AI88" s="243"/>
      <c r="AJ88" s="193"/>
      <c r="AK88" s="243"/>
      <c r="AL88" s="193"/>
      <c r="AM88" s="243"/>
      <c r="AN88" s="193"/>
      <c r="AO88" s="243"/>
      <c r="AP88" s="168"/>
      <c r="AQ88" s="168"/>
      <c r="AR88" s="24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  <c r="FO88" s="193"/>
      <c r="FP88" s="193"/>
      <c r="FQ88" s="193"/>
      <c r="FR88" s="193"/>
      <c r="FS88" s="193"/>
      <c r="FT88" s="193"/>
      <c r="FU88" s="193"/>
      <c r="FV88" s="193"/>
      <c r="FW88" s="193"/>
      <c r="FX88" s="193"/>
      <c r="FY88" s="193"/>
      <c r="FZ88" s="193"/>
      <c r="GA88" s="193"/>
      <c r="GB88" s="193"/>
      <c r="GC88" s="193"/>
      <c r="GD88" s="193"/>
      <c r="GE88" s="193"/>
      <c r="GF88" s="193"/>
      <c r="GG88" s="193"/>
      <c r="GH88" s="193"/>
      <c r="GI88" s="193"/>
      <c r="GJ88" s="193"/>
      <c r="GK88" s="193"/>
      <c r="GL88" s="193"/>
      <c r="GM88" s="193"/>
      <c r="GN88" s="193"/>
      <c r="GO88" s="193"/>
      <c r="GP88" s="193"/>
      <c r="GQ88" s="193"/>
      <c r="GR88" s="193"/>
      <c r="GS88" s="193"/>
      <c r="GT88" s="193"/>
      <c r="GU88" s="193"/>
      <c r="GV88" s="193"/>
      <c r="GW88" s="193"/>
      <c r="GX88" s="193"/>
      <c r="GY88" s="193"/>
      <c r="GZ88" s="193"/>
      <c r="HA88" s="193"/>
      <c r="HB88" s="193"/>
      <c r="HC88" s="193"/>
      <c r="HD88" s="193"/>
      <c r="HE88" s="193"/>
      <c r="HF88" s="193"/>
      <c r="HG88" s="193"/>
      <c r="HH88" s="193"/>
      <c r="HI88" s="193"/>
      <c r="HJ88" s="193"/>
      <c r="HK88" s="193"/>
      <c r="HL88" s="193"/>
      <c r="HM88" s="193"/>
      <c r="HN88" s="193"/>
      <c r="HO88" s="193"/>
      <c r="HP88" s="193"/>
      <c r="HQ88" s="193"/>
      <c r="HR88" s="193"/>
      <c r="HS88" s="193"/>
      <c r="HT88" s="193"/>
      <c r="HU88" s="193"/>
      <c r="HV88" s="193"/>
      <c r="HW88" s="193"/>
      <c r="HX88" s="193"/>
      <c r="HY88" s="193"/>
      <c r="HZ88" s="193"/>
      <c r="IA88" s="193"/>
      <c r="IB88" s="193"/>
      <c r="IC88" s="193"/>
      <c r="ID88" s="193"/>
      <c r="IE88" s="193"/>
      <c r="IF88" s="193"/>
      <c r="IG88" s="193"/>
      <c r="IH88" s="193"/>
      <c r="II88" s="193"/>
      <c r="IJ88" s="193"/>
      <c r="IK88" s="193"/>
      <c r="IL88" s="193"/>
      <c r="IM88" s="193"/>
      <c r="IN88" s="193"/>
      <c r="IO88" s="193"/>
    </row>
    <row r="89" spans="1:249" s="310" customFormat="1" ht="18">
      <c r="A89" s="269" t="s">
        <v>77</v>
      </c>
      <c r="B89" s="261"/>
      <c r="C89" s="270"/>
      <c r="D89" s="271"/>
      <c r="E89" s="271"/>
      <c r="F89" s="271"/>
      <c r="G89" s="270"/>
      <c r="H89" s="271"/>
      <c r="I89" s="271"/>
      <c r="J89" s="271"/>
      <c r="K89" s="270"/>
      <c r="L89" s="271"/>
      <c r="M89" s="271"/>
      <c r="N89" s="271"/>
      <c r="O89" s="270"/>
      <c r="P89" s="271"/>
      <c r="Q89" s="271"/>
      <c r="R89" s="271"/>
      <c r="S89" s="270"/>
      <c r="T89" s="271"/>
      <c r="U89" s="271"/>
      <c r="V89" s="271"/>
      <c r="W89" s="258"/>
      <c r="X89" s="259"/>
      <c r="Y89" s="260"/>
      <c r="Z89" s="307"/>
      <c r="AA89" s="307"/>
      <c r="AB89" s="307"/>
      <c r="AC89" s="307"/>
      <c r="AD89" s="308"/>
      <c r="AE89" s="309"/>
      <c r="AF89" s="308"/>
      <c r="AG89" s="309"/>
      <c r="AH89" s="309"/>
      <c r="AI89" s="308"/>
      <c r="AJ89" s="309"/>
      <c r="AK89" s="308"/>
      <c r="AL89" s="309"/>
      <c r="AM89" s="308"/>
      <c r="AN89" s="309"/>
      <c r="AO89" s="308"/>
      <c r="AP89" s="309"/>
      <c r="AQ89" s="309"/>
      <c r="AR89" s="308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09"/>
      <c r="BH89" s="309"/>
      <c r="BI89" s="309"/>
      <c r="BJ89" s="309"/>
      <c r="BK89" s="309"/>
      <c r="BL89" s="309"/>
      <c r="BM89" s="309"/>
      <c r="BN89" s="309"/>
      <c r="BO89" s="309"/>
      <c r="BP89" s="309"/>
      <c r="BQ89" s="309"/>
      <c r="BR89" s="309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09"/>
      <c r="DB89" s="309"/>
      <c r="DC89" s="309"/>
      <c r="DD89" s="309"/>
      <c r="DE89" s="309"/>
      <c r="DF89" s="309"/>
      <c r="DG89" s="309"/>
      <c r="DH89" s="309"/>
      <c r="DI89" s="309"/>
      <c r="DJ89" s="309"/>
      <c r="DK89" s="309"/>
      <c r="DL89" s="309"/>
      <c r="DM89" s="309"/>
      <c r="DN89" s="309"/>
      <c r="DO89" s="309"/>
      <c r="DP89" s="309"/>
      <c r="DQ89" s="309"/>
      <c r="DR89" s="309"/>
      <c r="DS89" s="309"/>
      <c r="DT89" s="309"/>
      <c r="DU89" s="309"/>
      <c r="DV89" s="309"/>
      <c r="DW89" s="309"/>
      <c r="DX89" s="309"/>
      <c r="DY89" s="309"/>
      <c r="DZ89" s="309"/>
      <c r="EA89" s="309"/>
      <c r="EB89" s="309"/>
      <c r="EC89" s="309"/>
      <c r="ED89" s="309"/>
      <c r="EE89" s="309"/>
      <c r="EF89" s="309"/>
      <c r="EG89" s="309"/>
      <c r="EH89" s="309"/>
      <c r="EI89" s="309"/>
      <c r="EJ89" s="309"/>
      <c r="EK89" s="309"/>
      <c r="EL89" s="309"/>
      <c r="EM89" s="309"/>
      <c r="EN89" s="309"/>
      <c r="EO89" s="309"/>
      <c r="EP89" s="309"/>
      <c r="EQ89" s="309"/>
      <c r="ER89" s="309"/>
      <c r="ES89" s="309"/>
      <c r="ET89" s="309"/>
      <c r="EU89" s="309"/>
      <c r="EV89" s="309"/>
      <c r="EW89" s="309"/>
      <c r="EX89" s="309"/>
      <c r="EY89" s="309"/>
      <c r="EZ89" s="309"/>
      <c r="FA89" s="309"/>
      <c r="FB89" s="309"/>
      <c r="FC89" s="309"/>
      <c r="FD89" s="309"/>
      <c r="FE89" s="309"/>
      <c r="FF89" s="309"/>
      <c r="FG89" s="309"/>
      <c r="FH89" s="309"/>
      <c r="FI89" s="309"/>
      <c r="FJ89" s="309"/>
      <c r="FK89" s="309"/>
      <c r="FL89" s="309"/>
      <c r="FM89" s="309"/>
      <c r="FN89" s="309"/>
      <c r="FO89" s="309"/>
      <c r="FP89" s="309"/>
      <c r="FQ89" s="309"/>
      <c r="FR89" s="309"/>
      <c r="FS89" s="309"/>
      <c r="FT89" s="309"/>
      <c r="FU89" s="309"/>
      <c r="FV89" s="309"/>
      <c r="FW89" s="309"/>
      <c r="FX89" s="309"/>
      <c r="FY89" s="309"/>
      <c r="FZ89" s="309"/>
      <c r="GA89" s="309"/>
      <c r="GB89" s="309"/>
      <c r="GC89" s="309"/>
      <c r="GD89" s="309"/>
      <c r="GE89" s="309"/>
      <c r="GF89" s="309"/>
      <c r="GG89" s="309"/>
      <c r="GH89" s="309"/>
      <c r="GI89" s="309"/>
      <c r="GJ89" s="309"/>
      <c r="GK89" s="309"/>
      <c r="GL89" s="309"/>
      <c r="GM89" s="309"/>
      <c r="GN89" s="309"/>
      <c r="GO89" s="309"/>
      <c r="GP89" s="309"/>
      <c r="GQ89" s="309"/>
      <c r="GR89" s="309"/>
      <c r="GS89" s="309"/>
      <c r="GT89" s="309"/>
      <c r="GU89" s="309"/>
      <c r="GV89" s="309"/>
      <c r="GW89" s="309"/>
      <c r="GX89" s="309"/>
      <c r="GY89" s="309"/>
      <c r="GZ89" s="309"/>
      <c r="HA89" s="309"/>
      <c r="HB89" s="309"/>
      <c r="HC89" s="309"/>
      <c r="HD89" s="309"/>
      <c r="HE89" s="309"/>
      <c r="HF89" s="309"/>
      <c r="HG89" s="309"/>
      <c r="HH89" s="309"/>
      <c r="HI89" s="309"/>
      <c r="HJ89" s="309"/>
      <c r="HK89" s="309"/>
      <c r="HL89" s="309"/>
      <c r="HM89" s="309"/>
      <c r="HN89" s="309"/>
      <c r="HO89" s="309"/>
      <c r="HP89" s="309"/>
      <c r="HQ89" s="309"/>
      <c r="HR89" s="309"/>
      <c r="HS89" s="309"/>
      <c r="HT89" s="309"/>
      <c r="HU89" s="309"/>
      <c r="HV89" s="309"/>
      <c r="HW89" s="309"/>
      <c r="HX89" s="309"/>
      <c r="HY89" s="309"/>
      <c r="HZ89" s="309"/>
      <c r="IA89" s="309"/>
      <c r="IB89" s="309"/>
      <c r="IC89" s="309"/>
      <c r="ID89" s="309"/>
      <c r="IE89" s="309"/>
      <c r="IF89" s="309"/>
      <c r="IG89" s="309"/>
      <c r="IH89" s="309"/>
      <c r="II89" s="309"/>
      <c r="IJ89" s="309"/>
      <c r="IK89" s="309"/>
      <c r="IL89" s="309"/>
      <c r="IM89" s="309"/>
      <c r="IN89" s="309"/>
      <c r="IO89" s="309"/>
    </row>
    <row r="90" spans="1:249" s="310" customFormat="1" ht="18.75" thickBot="1">
      <c r="A90" s="314"/>
      <c r="B90" s="309"/>
      <c r="C90" s="315"/>
      <c r="D90" s="316"/>
      <c r="E90" s="316"/>
      <c r="F90" s="316"/>
      <c r="G90" s="315"/>
      <c r="H90" s="316"/>
      <c r="I90" s="316"/>
      <c r="J90" s="316"/>
      <c r="K90" s="315"/>
      <c r="L90" s="316"/>
      <c r="M90" s="316"/>
      <c r="N90" s="316"/>
      <c r="O90" s="315"/>
      <c r="P90" s="316"/>
      <c r="Q90" s="316"/>
      <c r="R90" s="316"/>
      <c r="S90" s="315"/>
      <c r="T90" s="316"/>
      <c r="U90" s="316"/>
      <c r="V90" s="316"/>
      <c r="W90" s="305"/>
      <c r="X90" s="306"/>
      <c r="Y90" s="307"/>
      <c r="Z90" s="307"/>
      <c r="AA90" s="307"/>
      <c r="AB90" s="307"/>
      <c r="AC90" s="307"/>
      <c r="AD90" s="308"/>
      <c r="AE90" s="309"/>
      <c r="AF90" s="308"/>
      <c r="AG90" s="309"/>
      <c r="AH90" s="309"/>
      <c r="AI90" s="308"/>
      <c r="AJ90" s="309"/>
      <c r="AK90" s="308"/>
      <c r="AL90" s="309"/>
      <c r="AM90" s="308"/>
      <c r="AN90" s="309"/>
      <c r="AO90" s="308"/>
      <c r="AP90" s="309"/>
      <c r="AQ90" s="309"/>
      <c r="AR90" s="308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309"/>
      <c r="BI90" s="309"/>
      <c r="BJ90" s="309"/>
      <c r="BK90" s="309"/>
      <c r="BL90" s="309"/>
      <c r="BM90" s="309"/>
      <c r="BN90" s="309"/>
      <c r="BO90" s="309"/>
      <c r="BP90" s="309"/>
      <c r="BQ90" s="309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309"/>
      <c r="CE90" s="309"/>
      <c r="CF90" s="309"/>
      <c r="CG90" s="309"/>
      <c r="CH90" s="309"/>
      <c r="CI90" s="309"/>
      <c r="CJ90" s="309"/>
      <c r="CK90" s="309"/>
      <c r="CL90" s="309"/>
      <c r="CM90" s="309"/>
      <c r="CN90" s="309"/>
      <c r="CO90" s="309"/>
      <c r="CP90" s="309"/>
      <c r="CQ90" s="309"/>
      <c r="CR90" s="309"/>
      <c r="CS90" s="309"/>
      <c r="CT90" s="309"/>
      <c r="CU90" s="309"/>
      <c r="CV90" s="309"/>
      <c r="CW90" s="309"/>
      <c r="CX90" s="309"/>
      <c r="CY90" s="309"/>
      <c r="CZ90" s="309"/>
      <c r="DA90" s="309"/>
      <c r="DB90" s="309"/>
      <c r="DC90" s="309"/>
      <c r="DD90" s="309"/>
      <c r="DE90" s="309"/>
      <c r="DF90" s="309"/>
      <c r="DG90" s="309"/>
      <c r="DH90" s="309"/>
      <c r="DI90" s="309"/>
      <c r="DJ90" s="309"/>
      <c r="DK90" s="309"/>
      <c r="DL90" s="309"/>
      <c r="DM90" s="309"/>
      <c r="DN90" s="309"/>
      <c r="DO90" s="309"/>
      <c r="DP90" s="309"/>
      <c r="DQ90" s="309"/>
      <c r="DR90" s="309"/>
      <c r="DS90" s="309"/>
      <c r="DT90" s="309"/>
      <c r="DU90" s="309"/>
      <c r="DV90" s="309"/>
      <c r="DW90" s="309"/>
      <c r="DX90" s="309"/>
      <c r="DY90" s="309"/>
      <c r="DZ90" s="309"/>
      <c r="EA90" s="309"/>
      <c r="EB90" s="309"/>
      <c r="EC90" s="309"/>
      <c r="ED90" s="309"/>
      <c r="EE90" s="309"/>
      <c r="EF90" s="309"/>
      <c r="EG90" s="309"/>
      <c r="EH90" s="309"/>
      <c r="EI90" s="309"/>
      <c r="EJ90" s="309"/>
      <c r="EK90" s="309"/>
      <c r="EL90" s="309"/>
      <c r="EM90" s="309"/>
      <c r="EN90" s="309"/>
      <c r="EO90" s="309"/>
      <c r="EP90" s="309"/>
      <c r="EQ90" s="309"/>
      <c r="ER90" s="309"/>
      <c r="ES90" s="309"/>
      <c r="ET90" s="309"/>
      <c r="EU90" s="309"/>
      <c r="EV90" s="309"/>
      <c r="EW90" s="309"/>
      <c r="EX90" s="309"/>
      <c r="EY90" s="309"/>
      <c r="EZ90" s="309"/>
      <c r="FA90" s="309"/>
      <c r="FB90" s="309"/>
      <c r="FC90" s="309"/>
      <c r="FD90" s="309"/>
      <c r="FE90" s="309"/>
      <c r="FF90" s="309"/>
      <c r="FG90" s="309"/>
      <c r="FH90" s="309"/>
      <c r="FI90" s="309"/>
      <c r="FJ90" s="309"/>
      <c r="FK90" s="309"/>
      <c r="FL90" s="309"/>
      <c r="FM90" s="309"/>
      <c r="FN90" s="309"/>
      <c r="FO90" s="309"/>
      <c r="FP90" s="309"/>
      <c r="FQ90" s="309"/>
      <c r="FR90" s="309"/>
      <c r="FS90" s="309"/>
      <c r="FT90" s="309"/>
      <c r="FU90" s="309"/>
      <c r="FV90" s="309"/>
      <c r="FW90" s="309"/>
      <c r="FX90" s="309"/>
      <c r="FY90" s="309"/>
      <c r="FZ90" s="309"/>
      <c r="GA90" s="309"/>
      <c r="GB90" s="309"/>
      <c r="GC90" s="309"/>
      <c r="GD90" s="309"/>
      <c r="GE90" s="309"/>
      <c r="GF90" s="309"/>
      <c r="GG90" s="309"/>
      <c r="GH90" s="309"/>
      <c r="GI90" s="309"/>
      <c r="GJ90" s="309"/>
      <c r="GK90" s="309"/>
      <c r="GL90" s="309"/>
      <c r="GM90" s="309"/>
      <c r="GN90" s="309"/>
      <c r="GO90" s="309"/>
      <c r="GP90" s="309"/>
      <c r="GQ90" s="309"/>
      <c r="GR90" s="309"/>
      <c r="GS90" s="309"/>
      <c r="GT90" s="309"/>
      <c r="GU90" s="309"/>
      <c r="GV90" s="309"/>
      <c r="GW90" s="309"/>
      <c r="GX90" s="309"/>
      <c r="GY90" s="309"/>
      <c r="GZ90" s="309"/>
      <c r="HA90" s="309"/>
      <c r="HB90" s="309"/>
      <c r="HC90" s="309"/>
      <c r="HD90" s="309"/>
      <c r="HE90" s="309"/>
      <c r="HF90" s="309"/>
      <c r="HG90" s="309"/>
      <c r="HH90" s="309"/>
      <c r="HI90" s="309"/>
      <c r="HJ90" s="309"/>
      <c r="HK90" s="309"/>
      <c r="HL90" s="309"/>
      <c r="HM90" s="309"/>
      <c r="HN90" s="309"/>
      <c r="HO90" s="309"/>
      <c r="HP90" s="309"/>
      <c r="HQ90" s="309"/>
      <c r="HR90" s="309"/>
      <c r="HS90" s="309"/>
      <c r="HT90" s="309"/>
      <c r="HU90" s="309"/>
      <c r="HV90" s="309"/>
      <c r="HW90" s="309"/>
      <c r="HX90" s="309"/>
      <c r="HY90" s="309"/>
      <c r="HZ90" s="309"/>
      <c r="IA90" s="309"/>
      <c r="IB90" s="309"/>
      <c r="IC90" s="309"/>
      <c r="ID90" s="309"/>
      <c r="IE90" s="309"/>
      <c r="IF90" s="309"/>
      <c r="IG90" s="309"/>
      <c r="IH90" s="309"/>
      <c r="II90" s="309"/>
      <c r="IJ90" s="309"/>
      <c r="IK90" s="309"/>
      <c r="IL90" s="309"/>
      <c r="IM90" s="309"/>
      <c r="IN90" s="309"/>
      <c r="IO90" s="309"/>
    </row>
    <row r="91" spans="1:249" s="69" customFormat="1" ht="30" customHeight="1">
      <c r="A91" s="301" t="s">
        <v>82</v>
      </c>
      <c r="B91" s="285"/>
      <c r="C91" s="286"/>
      <c r="D91" s="287">
        <v>55</v>
      </c>
      <c r="E91" s="287" t="s">
        <v>27</v>
      </c>
      <c r="F91" s="288"/>
      <c r="G91" s="287"/>
      <c r="H91" s="289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  <c r="IJ91" s="66"/>
      <c r="IK91" s="66"/>
      <c r="IL91" s="66"/>
      <c r="IM91" s="66"/>
      <c r="IN91" s="66"/>
      <c r="IO91" s="66"/>
    </row>
    <row r="92" spans="1:249" s="69" customFormat="1" ht="30" customHeight="1">
      <c r="A92" s="292" t="s">
        <v>83</v>
      </c>
      <c r="B92" s="275"/>
      <c r="C92" s="278"/>
      <c r="D92" s="276">
        <v>50</v>
      </c>
      <c r="E92" s="276" t="s">
        <v>27</v>
      </c>
      <c r="F92" s="277"/>
      <c r="G92" s="276"/>
      <c r="H92" s="291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  <c r="IH92" s="66"/>
      <c r="II92" s="66"/>
      <c r="IJ92" s="66"/>
      <c r="IK92" s="66"/>
      <c r="IL92" s="66"/>
      <c r="IM92" s="66"/>
      <c r="IN92" s="66"/>
      <c r="IO92" s="66"/>
    </row>
    <row r="93" spans="1:249" s="69" customFormat="1" ht="30" customHeight="1">
      <c r="A93" s="292" t="s">
        <v>84</v>
      </c>
      <c r="B93" s="275"/>
      <c r="C93" s="278"/>
      <c r="D93" s="276">
        <v>25</v>
      </c>
      <c r="E93" s="276" t="s">
        <v>27</v>
      </c>
      <c r="F93" s="277"/>
      <c r="G93" s="276"/>
      <c r="H93" s="291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  <c r="II93" s="66"/>
      <c r="IJ93" s="66"/>
      <c r="IK93" s="66"/>
      <c r="IL93" s="66"/>
      <c r="IM93" s="66"/>
      <c r="IN93" s="66"/>
      <c r="IO93" s="66"/>
    </row>
    <row r="94" spans="1:249" s="69" customFormat="1" ht="30" customHeight="1">
      <c r="A94" s="292" t="s">
        <v>85</v>
      </c>
      <c r="B94" s="275"/>
      <c r="C94" s="278"/>
      <c r="D94" s="276">
        <v>45</v>
      </c>
      <c r="E94" s="276" t="s">
        <v>27</v>
      </c>
      <c r="F94" s="277"/>
      <c r="G94" s="276"/>
      <c r="H94" s="291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  <c r="IJ94" s="66"/>
      <c r="IK94" s="66"/>
      <c r="IL94" s="66"/>
      <c r="IM94" s="66"/>
      <c r="IN94" s="66"/>
      <c r="IO94" s="66"/>
    </row>
    <row r="95" spans="1:249" s="69" customFormat="1" ht="30" customHeight="1">
      <c r="A95" s="292" t="s">
        <v>78</v>
      </c>
      <c r="B95" s="275"/>
      <c r="C95" s="278"/>
      <c r="D95" s="279">
        <v>0.25</v>
      </c>
      <c r="E95" s="276" t="s">
        <v>27</v>
      </c>
      <c r="F95" s="277"/>
      <c r="G95" s="276"/>
      <c r="H95" s="291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  <c r="IJ95" s="66"/>
      <c r="IK95" s="66"/>
      <c r="IL95" s="66"/>
      <c r="IM95" s="66"/>
      <c r="IN95" s="66"/>
      <c r="IO95" s="66"/>
    </row>
    <row r="96" spans="1:249" s="69" customFormat="1" ht="30" customHeight="1">
      <c r="A96" s="760" t="s">
        <v>79</v>
      </c>
      <c r="B96" s="761"/>
      <c r="C96" s="278"/>
      <c r="D96" s="280">
        <v>2300</v>
      </c>
      <c r="E96" s="281"/>
      <c r="F96" s="277"/>
      <c r="G96" s="276"/>
      <c r="H96" s="291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  <c r="IJ96" s="66"/>
      <c r="IK96" s="66"/>
      <c r="IL96" s="66"/>
      <c r="IM96" s="66"/>
      <c r="IN96" s="66"/>
      <c r="IO96" s="66"/>
    </row>
    <row r="97" spans="1:249" s="69" customFormat="1" ht="30" customHeight="1">
      <c r="A97" s="290" t="s">
        <v>26</v>
      </c>
      <c r="B97" s="275"/>
      <c r="C97" s="278"/>
      <c r="D97" s="279">
        <v>0.3333</v>
      </c>
      <c r="E97" s="278"/>
      <c r="F97" s="277"/>
      <c r="G97" s="276"/>
      <c r="H97" s="291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</row>
    <row r="98" spans="1:249" s="69" customFormat="1" ht="30" customHeight="1">
      <c r="A98" s="290" t="s">
        <v>15</v>
      </c>
      <c r="B98" s="275"/>
      <c r="C98" s="278"/>
      <c r="D98" s="282">
        <f>1-D97</f>
        <v>0.6667000000000001</v>
      </c>
      <c r="E98" s="277"/>
      <c r="F98" s="277"/>
      <c r="G98" s="276"/>
      <c r="H98" s="291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  <c r="IJ98" s="66"/>
      <c r="IK98" s="66"/>
      <c r="IL98" s="66"/>
      <c r="IM98" s="66"/>
      <c r="IN98" s="66"/>
      <c r="IO98" s="66"/>
    </row>
    <row r="99" spans="1:249" s="69" customFormat="1" ht="30" customHeight="1">
      <c r="A99" s="292" t="s">
        <v>80</v>
      </c>
      <c r="B99" s="275"/>
      <c r="C99" s="276"/>
      <c r="D99" s="283">
        <v>20</v>
      </c>
      <c r="E99" s="284" t="s">
        <v>64</v>
      </c>
      <c r="F99" s="277"/>
      <c r="G99" s="276"/>
      <c r="H99" s="291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</row>
    <row r="100" spans="1:249" s="69" customFormat="1" ht="30" customHeight="1" thickBot="1">
      <c r="A100" s="293" t="s">
        <v>54</v>
      </c>
      <c r="B100" s="294"/>
      <c r="C100" s="295"/>
      <c r="D100" s="296">
        <v>0.03</v>
      </c>
      <c r="E100" s="297" t="s">
        <v>81</v>
      </c>
      <c r="F100" s="298"/>
      <c r="G100" s="299"/>
      <c r="H100" s="300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</row>
    <row r="101" spans="5:249" s="69" customFormat="1" ht="15">
      <c r="E101" s="68"/>
      <c r="F101" s="68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  <c r="IH101" s="66"/>
      <c r="II101" s="66"/>
      <c r="IJ101" s="66"/>
      <c r="IK101" s="66"/>
      <c r="IL101" s="66"/>
      <c r="IM101" s="66"/>
      <c r="IN101" s="66"/>
      <c r="IO101" s="66"/>
    </row>
    <row r="102" spans="5:249" s="69" customFormat="1" ht="15">
      <c r="E102" s="68"/>
      <c r="F102" s="68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  <c r="IJ102" s="66"/>
      <c r="IK102" s="66"/>
      <c r="IL102" s="66"/>
      <c r="IM102" s="66"/>
      <c r="IN102" s="66"/>
      <c r="IO102" s="66"/>
    </row>
    <row r="103" spans="1:249" s="69" customFormat="1" ht="15.75">
      <c r="A103" s="122"/>
      <c r="B103" s="12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</row>
    <row r="104" spans="1:249" s="72" customFormat="1" ht="15">
      <c r="A104" s="758"/>
      <c r="B104" s="758"/>
      <c r="C104" s="759"/>
      <c r="D104" s="759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</row>
  </sheetData>
  <mergeCells count="31">
    <mergeCell ref="AD2:AI2"/>
    <mergeCell ref="W2:AB2"/>
    <mergeCell ref="Z25:AA25"/>
    <mergeCell ref="AP2:AR2"/>
    <mergeCell ref="AN2:AO2"/>
    <mergeCell ref="AL2:AM2"/>
    <mergeCell ref="AJ2:AK2"/>
    <mergeCell ref="AL28:AM28"/>
    <mergeCell ref="AJ28:AK28"/>
    <mergeCell ref="AF28:AH28"/>
    <mergeCell ref="AB28:AE28"/>
    <mergeCell ref="AT28:AU28"/>
    <mergeCell ref="AR28:AS28"/>
    <mergeCell ref="AP28:AQ28"/>
    <mergeCell ref="AN28:AO28"/>
    <mergeCell ref="Z28:AA28"/>
    <mergeCell ref="AV56:AX56"/>
    <mergeCell ref="AT56:AU56"/>
    <mergeCell ref="AR56:AS56"/>
    <mergeCell ref="AP56:AQ56"/>
    <mergeCell ref="AN56:AO56"/>
    <mergeCell ref="AL56:AM56"/>
    <mergeCell ref="AJ56:AK56"/>
    <mergeCell ref="AF56:AH56"/>
    <mergeCell ref="AV28:AX28"/>
    <mergeCell ref="A104:B104"/>
    <mergeCell ref="C104:D104"/>
    <mergeCell ref="A96:B96"/>
    <mergeCell ref="AB56:AE56"/>
    <mergeCell ref="Z56:AA56"/>
    <mergeCell ref="AA57:AB57"/>
  </mergeCells>
  <printOptions/>
  <pageMargins left="0.12" right="0.2" top="0.16" bottom="0.19" header="0.16" footer="0.14"/>
  <pageSetup fitToHeight="2" horizontalDpi="300" verticalDpi="300" orientation="landscape" paperSize="9" scale="40" r:id="rId1"/>
  <rowBreaks count="1" manualBreakCount="1">
    <brk id="4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45"/>
  <sheetViews>
    <sheetView workbookViewId="0" topLeftCell="A8">
      <selection activeCell="T20" sqref="T20"/>
    </sheetView>
  </sheetViews>
  <sheetFormatPr defaultColWidth="11.421875" defaultRowHeight="12.75"/>
  <cols>
    <col min="1" max="1" width="23.8515625" style="1" customWidth="1"/>
    <col min="2" max="2" width="8.7109375" style="2" customWidth="1"/>
    <col min="3" max="3" width="9.28125" style="2" customWidth="1"/>
    <col min="4" max="4" width="12.8515625" style="2" customWidth="1"/>
    <col min="5" max="5" width="13.7109375" style="2" customWidth="1"/>
    <col min="6" max="6" width="14.28125" style="2" customWidth="1"/>
    <col min="7" max="7" width="11.421875" style="2" customWidth="1"/>
    <col min="8" max="8" width="10.57421875" style="2" customWidth="1"/>
    <col min="9" max="9" width="9.8515625" style="2" customWidth="1"/>
    <col min="10" max="10" width="10.140625" style="2" customWidth="1"/>
    <col min="11" max="11" width="11.57421875" style="2" customWidth="1"/>
    <col min="12" max="12" width="12.8515625" style="2" customWidth="1"/>
    <col min="13" max="13" width="11.8515625" style="2" customWidth="1"/>
    <col min="14" max="14" width="12.421875" style="2" customWidth="1"/>
    <col min="15" max="15" width="15.140625" style="2" customWidth="1"/>
    <col min="16" max="17" width="14.00390625" style="2" customWidth="1"/>
    <col min="18" max="18" width="17.28125" style="2" customWidth="1"/>
    <col min="19" max="19" width="10.140625" style="2" customWidth="1"/>
    <col min="20" max="20" width="15.28125" style="2" customWidth="1"/>
    <col min="21" max="212" width="11.421875" style="2" customWidth="1"/>
  </cols>
  <sheetData>
    <row r="1" spans="1:2" ht="18">
      <c r="A1" s="4"/>
      <c r="B1" s="373" t="s">
        <v>101</v>
      </c>
    </row>
    <row r="2" spans="1:2" ht="18">
      <c r="A2" s="4"/>
      <c r="B2" s="374" t="s">
        <v>130</v>
      </c>
    </row>
    <row r="3" spans="1:9" ht="18">
      <c r="A3" s="4"/>
      <c r="B3" s="374" t="s">
        <v>92</v>
      </c>
      <c r="H3" s="458"/>
      <c r="I3" s="458"/>
    </row>
    <row r="4" spans="1:2" ht="18">
      <c r="A4" s="4"/>
      <c r="B4" s="374" t="s">
        <v>189</v>
      </c>
    </row>
    <row r="5" spans="2:21" ht="15.75">
      <c r="B5" s="374" t="s">
        <v>131</v>
      </c>
      <c r="U5" s="25"/>
    </row>
    <row r="6" spans="1:9" ht="18">
      <c r="A6" s="4"/>
      <c r="B6" s="374" t="s">
        <v>97</v>
      </c>
      <c r="H6" s="478">
        <v>30000</v>
      </c>
      <c r="I6" s="479"/>
    </row>
    <row r="7" spans="1:9" ht="18">
      <c r="A7" s="4"/>
      <c r="B7" s="374" t="s">
        <v>112</v>
      </c>
      <c r="H7" s="514">
        <v>0.005</v>
      </c>
      <c r="I7" s="517" t="s">
        <v>113</v>
      </c>
    </row>
    <row r="8" spans="2:21" ht="15.75">
      <c r="B8" s="374" t="s">
        <v>121</v>
      </c>
      <c r="U8" s="66"/>
    </row>
    <row r="9" spans="1:9" ht="18">
      <c r="A9" s="4"/>
      <c r="B9" s="374" t="s">
        <v>115</v>
      </c>
      <c r="H9" s="518">
        <v>50</v>
      </c>
      <c r="I9" s="479" t="s">
        <v>64</v>
      </c>
    </row>
    <row r="10" spans="2:22" ht="16.5" thickBot="1">
      <c r="B10" s="412"/>
      <c r="C10" s="375"/>
      <c r="D10" s="375"/>
      <c r="E10" s="375"/>
      <c r="F10" s="25"/>
      <c r="G10" s="376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66"/>
      <c r="V10" s="30"/>
    </row>
    <row r="11" spans="1:212" ht="15.75">
      <c r="A11" s="47"/>
      <c r="B11" s="413" t="s">
        <v>38</v>
      </c>
      <c r="C11" s="414"/>
      <c r="D11" s="414"/>
      <c r="E11" s="104"/>
      <c r="F11" s="434" t="s">
        <v>5</v>
      </c>
      <c r="G11" s="435"/>
      <c r="H11" s="436"/>
      <c r="I11" s="441" t="s">
        <v>6</v>
      </c>
      <c r="J11" s="442"/>
      <c r="K11" s="442"/>
      <c r="L11" s="443"/>
      <c r="M11" s="428"/>
      <c r="N11" s="444"/>
      <c r="O11" s="550" t="s">
        <v>98</v>
      </c>
      <c r="P11" s="449" t="s">
        <v>16</v>
      </c>
      <c r="Q11" s="435"/>
      <c r="R11" s="436"/>
      <c r="S11" s="26"/>
      <c r="HC11"/>
      <c r="HD11"/>
    </row>
    <row r="12" spans="1:212" ht="15.75">
      <c r="A12" s="47"/>
      <c r="B12" s="415"/>
      <c r="C12" s="408"/>
      <c r="D12" s="409"/>
      <c r="E12" s="429"/>
      <c r="F12" s="437"/>
      <c r="G12" s="25"/>
      <c r="H12" s="438"/>
      <c r="I12" s="437"/>
      <c r="J12" s="25"/>
      <c r="K12" s="25"/>
      <c r="L12" s="403"/>
      <c r="M12" s="66"/>
      <c r="N12" s="445"/>
      <c r="O12" s="551" t="s">
        <v>99</v>
      </c>
      <c r="P12" s="437"/>
      <c r="Q12" s="25"/>
      <c r="R12" s="450"/>
      <c r="HC12"/>
      <c r="HD12"/>
    </row>
    <row r="13" spans="1:212" ht="67.5" customHeight="1" thickBot="1">
      <c r="A13" s="115"/>
      <c r="B13" s="416" t="s">
        <v>3</v>
      </c>
      <c r="C13" s="410" t="s">
        <v>14</v>
      </c>
      <c r="D13" s="425" t="s">
        <v>40</v>
      </c>
      <c r="E13" s="430" t="s">
        <v>116</v>
      </c>
      <c r="F13" s="54" t="s">
        <v>3</v>
      </c>
      <c r="G13" s="46" t="s">
        <v>14</v>
      </c>
      <c r="H13" s="425" t="s">
        <v>40</v>
      </c>
      <c r="I13" s="54" t="s">
        <v>3</v>
      </c>
      <c r="J13" s="46" t="s">
        <v>14</v>
      </c>
      <c r="K13" s="425" t="s">
        <v>40</v>
      </c>
      <c r="L13" s="404" t="s">
        <v>124</v>
      </c>
      <c r="M13" s="404" t="s">
        <v>114</v>
      </c>
      <c r="N13" s="430" t="s">
        <v>116</v>
      </c>
      <c r="O13" s="552"/>
      <c r="P13" s="54" t="s">
        <v>3</v>
      </c>
      <c r="Q13" s="46" t="s">
        <v>14</v>
      </c>
      <c r="R13" s="521" t="s">
        <v>120</v>
      </c>
      <c r="HC13"/>
      <c r="HD13"/>
    </row>
    <row r="14" spans="1:212" ht="20.25" customHeight="1">
      <c r="A14" s="117" t="s">
        <v>43</v>
      </c>
      <c r="B14" s="417">
        <f>Daten!L8</f>
        <v>141</v>
      </c>
      <c r="C14" s="411">
        <f>Daten!M8</f>
        <v>6</v>
      </c>
      <c r="D14" s="426">
        <f>Daten!N33</f>
        <v>75102.2875</v>
      </c>
      <c r="E14" s="431">
        <f>D14</f>
        <v>75102.2875</v>
      </c>
      <c r="F14" s="54">
        <f>Daten!F8</f>
        <v>106</v>
      </c>
      <c r="G14" s="46">
        <f>Daten!G8</f>
        <v>6</v>
      </c>
      <c r="H14" s="422">
        <f>Daten!F33</f>
        <v>31083.53695</v>
      </c>
      <c r="I14" s="54"/>
      <c r="J14" s="46"/>
      <c r="K14" s="45"/>
      <c r="L14" s="45"/>
      <c r="M14" s="274"/>
      <c r="N14" s="55"/>
      <c r="O14" s="553"/>
      <c r="P14" s="451"/>
      <c r="Q14" s="406"/>
      <c r="R14" s="452"/>
      <c r="HC14"/>
      <c r="HD14"/>
    </row>
    <row r="15" spans="1:212" ht="20.25" customHeight="1">
      <c r="A15" s="118" t="s">
        <v>44</v>
      </c>
      <c r="B15" s="417">
        <f>Daten!L9</f>
        <v>136</v>
      </c>
      <c r="C15" s="411">
        <f>Daten!M9</f>
        <v>7</v>
      </c>
      <c r="D15" s="426">
        <f>Daten!N34</f>
        <v>76245.0191875</v>
      </c>
      <c r="E15" s="431">
        <f aca="true" t="shared" si="0" ref="E15:E25">D15</f>
        <v>76245.0191875</v>
      </c>
      <c r="F15" s="54">
        <f>Daten!F9</f>
        <v>102</v>
      </c>
      <c r="G15" s="46">
        <f>Daten!G9</f>
        <v>5</v>
      </c>
      <c r="H15" s="422">
        <f>Daten!F34</f>
        <v>31486.220851749997</v>
      </c>
      <c r="I15" s="54"/>
      <c r="J15" s="46"/>
      <c r="K15" s="45"/>
      <c r="L15" s="45"/>
      <c r="M15" s="274"/>
      <c r="N15" s="55"/>
      <c r="O15" s="553"/>
      <c r="P15" s="453"/>
      <c r="Q15" s="406"/>
      <c r="R15" s="454"/>
      <c r="HC15"/>
      <c r="HD15"/>
    </row>
    <row r="16" spans="1:212" ht="20.25" customHeight="1">
      <c r="A16" s="118" t="s">
        <v>45</v>
      </c>
      <c r="B16" s="417">
        <f>Daten!L10</f>
        <v>124</v>
      </c>
      <c r="C16" s="411">
        <f>Daten!M10</f>
        <v>7</v>
      </c>
      <c r="D16" s="426">
        <f>Daten!N35</f>
        <v>77462.0284346875</v>
      </c>
      <c r="E16" s="431">
        <f t="shared" si="0"/>
        <v>77462.0284346875</v>
      </c>
      <c r="F16" s="54">
        <f>Daten!F10</f>
        <v>97</v>
      </c>
      <c r="G16" s="46">
        <f>Daten!G10</f>
        <v>5</v>
      </c>
      <c r="H16" s="422">
        <f>Daten!F35</f>
        <v>31915.079207113744</v>
      </c>
      <c r="I16" s="54">
        <f>Daten!C10+Daten!I10+Daten!O10</f>
        <v>202</v>
      </c>
      <c r="J16" s="46">
        <v>9</v>
      </c>
      <c r="K16" s="383">
        <f>H6</f>
        <v>30000</v>
      </c>
      <c r="L16" s="44">
        <f>$E$42</f>
        <v>124354.46991865101</v>
      </c>
      <c r="M16" s="519">
        <f>$E$35/$H$9</f>
        <v>48300</v>
      </c>
      <c r="N16" s="431">
        <f>K16+L16</f>
        <v>154354.469918651</v>
      </c>
      <c r="O16" s="554">
        <f>Daten!$F$86+Daten!$N$86+Daten!$V$86</f>
        <v>30650</v>
      </c>
      <c r="P16" s="421">
        <f aca="true" t="shared" si="1" ref="P16:Q20">I16+F16+B16</f>
        <v>423</v>
      </c>
      <c r="Q16" s="421">
        <f t="shared" si="1"/>
        <v>21</v>
      </c>
      <c r="R16" s="455">
        <f>N16+H16+E16</f>
        <v>263731.5775604523</v>
      </c>
      <c r="HC16"/>
      <c r="HD16"/>
    </row>
    <row r="17" spans="1:212" ht="20.25" customHeight="1">
      <c r="A17" s="118" t="s">
        <v>46</v>
      </c>
      <c r="B17" s="417">
        <f>Daten!L11</f>
        <v>110</v>
      </c>
      <c r="C17" s="411">
        <f>Daten!M11</f>
        <v>6</v>
      </c>
      <c r="D17" s="426">
        <f>Daten!N36</f>
        <v>78758.14328294218</v>
      </c>
      <c r="E17" s="431">
        <f t="shared" si="0"/>
        <v>78758.14328294218</v>
      </c>
      <c r="F17" s="54">
        <f>Daten!F11</f>
        <v>86</v>
      </c>
      <c r="G17" s="46">
        <f>Daten!G11</f>
        <v>4</v>
      </c>
      <c r="H17" s="422">
        <f>Daten!F36</f>
        <v>32371.813355576134</v>
      </c>
      <c r="I17" s="54">
        <f>Daten!C11+Daten!I11+Daten!O11</f>
        <v>184</v>
      </c>
      <c r="J17" s="46">
        <v>9</v>
      </c>
      <c r="K17" s="383">
        <f>K16+K16*$H$7</f>
        <v>30150</v>
      </c>
      <c r="L17" s="44">
        <f>$E$42</f>
        <v>124354.46991865101</v>
      </c>
      <c r="M17" s="519">
        <f>$E$35/$H$9</f>
        <v>48300</v>
      </c>
      <c r="N17" s="431">
        <f aca="true" t="shared" si="2" ref="N17:N25">K17+L17</f>
        <v>154504.469918651</v>
      </c>
      <c r="O17" s="554">
        <f>Daten!$F$86+Daten!$N$86+Daten!$V$86</f>
        <v>30650</v>
      </c>
      <c r="P17" s="54">
        <f t="shared" si="1"/>
        <v>380</v>
      </c>
      <c r="Q17" s="54">
        <f t="shared" si="1"/>
        <v>19</v>
      </c>
      <c r="R17" s="455">
        <f aca="true" t="shared" si="3" ref="R17:R25">N17+H17+E17</f>
        <v>265634.4265571693</v>
      </c>
      <c r="HC17"/>
      <c r="HD17"/>
    </row>
    <row r="18" spans="1:212" ht="20.25" customHeight="1">
      <c r="A18" s="118" t="s">
        <v>47</v>
      </c>
      <c r="B18" s="417">
        <f>Daten!L12</f>
        <v>113</v>
      </c>
      <c r="C18" s="411">
        <f>Daten!M12</f>
        <v>6</v>
      </c>
      <c r="D18" s="426">
        <f>Daten!N37</f>
        <v>80138.50559633343</v>
      </c>
      <c r="E18" s="431">
        <f t="shared" si="0"/>
        <v>80138.50559633343</v>
      </c>
      <c r="F18" s="54">
        <f>Daten!F12</f>
        <v>76</v>
      </c>
      <c r="G18" s="46">
        <f>Daten!G12</f>
        <v>4</v>
      </c>
      <c r="H18" s="422">
        <f>Daten!F37</f>
        <v>32858.23522368858</v>
      </c>
      <c r="I18" s="54">
        <f>Daten!C12+Daten!I12+Daten!O12</f>
        <v>172</v>
      </c>
      <c r="J18" s="46">
        <v>8</v>
      </c>
      <c r="K18" s="383">
        <f>K17+K17*$H$7</f>
        <v>30300.75</v>
      </c>
      <c r="L18" s="44">
        <f>$E$42</f>
        <v>124354.46991865101</v>
      </c>
      <c r="M18" s="519">
        <f>$E$35/$H$9</f>
        <v>48300</v>
      </c>
      <c r="N18" s="431">
        <f t="shared" si="2"/>
        <v>154655.219918651</v>
      </c>
      <c r="O18" s="554">
        <f>Daten!$F$86+Daten!$N$86+Daten!$V$86</f>
        <v>30650</v>
      </c>
      <c r="P18" s="54">
        <f t="shared" si="1"/>
        <v>361</v>
      </c>
      <c r="Q18" s="54">
        <f t="shared" si="1"/>
        <v>18</v>
      </c>
      <c r="R18" s="455">
        <f t="shared" si="3"/>
        <v>267651.960738673</v>
      </c>
      <c r="HC18"/>
      <c r="HD18"/>
    </row>
    <row r="19" spans="1:212" ht="20.25" customHeight="1">
      <c r="A19" s="118" t="s">
        <v>48</v>
      </c>
      <c r="B19" s="417">
        <f>Daten!L13</f>
        <v>102</v>
      </c>
      <c r="C19" s="411">
        <f>Daten!M13</f>
        <v>5</v>
      </c>
      <c r="D19" s="426">
        <f>Daten!N38</f>
        <v>81608.59146009511</v>
      </c>
      <c r="E19" s="431">
        <f t="shared" si="0"/>
        <v>81608.59146009511</v>
      </c>
      <c r="F19" s="54"/>
      <c r="G19" s="46"/>
      <c r="H19" s="422"/>
      <c r="I19" s="54">
        <f>Daten!C13+Daten!F13+Daten!I13+Daten!O13</f>
        <v>227</v>
      </c>
      <c r="J19" s="46">
        <v>10</v>
      </c>
      <c r="K19" s="383">
        <f>K18+K18*$H$7</f>
        <v>30452.25375</v>
      </c>
      <c r="L19" s="44">
        <f>$E$42</f>
        <v>124354.46991865101</v>
      </c>
      <c r="M19" s="519">
        <f>$E$35/$H$9</f>
        <v>48300</v>
      </c>
      <c r="N19" s="431">
        <f t="shared" si="2"/>
        <v>154806.72366865102</v>
      </c>
      <c r="O19" s="554">
        <f>Daten!$F$86+Daten!$N$86+Daten!$V$86+Daten!$J$86</f>
        <v>41750</v>
      </c>
      <c r="P19" s="54">
        <f t="shared" si="1"/>
        <v>329</v>
      </c>
      <c r="Q19" s="54">
        <f t="shared" si="1"/>
        <v>15</v>
      </c>
      <c r="R19" s="455">
        <f t="shared" si="3"/>
        <v>236415.31512874612</v>
      </c>
      <c r="HC19"/>
      <c r="HD19"/>
    </row>
    <row r="20" spans="1:212" ht="20.25" customHeight="1" thickBot="1">
      <c r="A20" s="643" t="s">
        <v>147</v>
      </c>
      <c r="B20" s="418">
        <f>Daten!L14</f>
        <v>98</v>
      </c>
      <c r="C20" s="419">
        <f>Daten!M14</f>
        <v>4</v>
      </c>
      <c r="D20" s="427">
        <f>Daten!N39</f>
        <v>83174.23290500129</v>
      </c>
      <c r="E20" s="432">
        <f t="shared" si="0"/>
        <v>83174.23290500129</v>
      </c>
      <c r="F20" s="182"/>
      <c r="G20" s="183"/>
      <c r="H20" s="439"/>
      <c r="I20" s="423">
        <f>Daten!C14+Daten!F14+Daten!I14+Daten!O14</f>
        <v>210</v>
      </c>
      <c r="J20" s="183">
        <v>10</v>
      </c>
      <c r="K20" s="402">
        <f>K19+K19*$H$7</f>
        <v>30604.51501875</v>
      </c>
      <c r="L20" s="446">
        <f>$E$42</f>
        <v>124354.46991865101</v>
      </c>
      <c r="M20" s="520">
        <f>$E$35/$H$9</f>
        <v>48300</v>
      </c>
      <c r="N20" s="432">
        <f>K20+L20</f>
        <v>154958.98493740102</v>
      </c>
      <c r="O20" s="555">
        <f>Daten!$F$86+Daten!$N$86+Daten!$V$86+Daten!$J$86</f>
        <v>41750</v>
      </c>
      <c r="P20" s="182">
        <f t="shared" si="1"/>
        <v>308</v>
      </c>
      <c r="Q20" s="182">
        <f t="shared" si="1"/>
        <v>14</v>
      </c>
      <c r="R20" s="456">
        <f>N20+H20+E20</f>
        <v>238133.21784240232</v>
      </c>
      <c r="HC20"/>
      <c r="HD20"/>
    </row>
    <row r="21" spans="1:212" ht="20.25" customHeight="1" thickBot="1">
      <c r="A21" s="556" t="s">
        <v>7</v>
      </c>
      <c r="B21" s="557"/>
      <c r="C21" s="557"/>
      <c r="D21" s="558"/>
      <c r="E21" s="559"/>
      <c r="F21" s="560"/>
      <c r="G21" s="241"/>
      <c r="H21" s="561"/>
      <c r="I21" s="557"/>
      <c r="J21" s="241"/>
      <c r="K21" s="562"/>
      <c r="L21" s="563"/>
      <c r="M21" s="563"/>
      <c r="N21" s="563"/>
      <c r="O21" s="564"/>
      <c r="P21" s="68"/>
      <c r="Q21" s="68"/>
      <c r="R21" s="565"/>
      <c r="HC21"/>
      <c r="HD21"/>
    </row>
    <row r="22" spans="1:212" ht="20.25" customHeight="1">
      <c r="A22" s="584" t="s">
        <v>49</v>
      </c>
      <c r="B22" s="662">
        <f>Daten!L16</f>
        <v>93.18218623481782</v>
      </c>
      <c r="C22" s="420">
        <f>Daten!M16</f>
        <v>4</v>
      </c>
      <c r="D22" s="688">
        <f>Daten!N41</f>
        <v>92667.8562073064</v>
      </c>
      <c r="E22" s="627">
        <f t="shared" si="0"/>
        <v>92667.8562073064</v>
      </c>
      <c r="F22" s="680"/>
      <c r="G22" s="440"/>
      <c r="H22" s="681"/>
      <c r="I22" s="662">
        <f>Daten!C16+Daten!F16+Daten!I16+Daten!O16</f>
        <v>199.67611336032388</v>
      </c>
      <c r="J22" s="440">
        <v>9</v>
      </c>
      <c r="K22" s="433">
        <f>K19+K19*$H$7</f>
        <v>30604.51501875</v>
      </c>
      <c r="L22" s="447">
        <f>$E$42</f>
        <v>124354.46991865101</v>
      </c>
      <c r="M22" s="447">
        <f>$E$35/$H$9</f>
        <v>48300</v>
      </c>
      <c r="N22" s="627">
        <f t="shared" si="2"/>
        <v>154958.98493740102</v>
      </c>
      <c r="O22" s="630">
        <f>Daten!$F$86+Daten!$N$86+Daten!$V$86+Daten!$J$86</f>
        <v>41750</v>
      </c>
      <c r="P22" s="685">
        <f aca="true" t="shared" si="4" ref="P22:Q25">I22+F22+B22</f>
        <v>292.8582995951417</v>
      </c>
      <c r="Q22" s="685">
        <f t="shared" si="4"/>
        <v>13</v>
      </c>
      <c r="R22" s="457">
        <f t="shared" si="3"/>
        <v>247626.8411447074</v>
      </c>
      <c r="S22" s="30"/>
      <c r="HC22"/>
      <c r="HD22"/>
    </row>
    <row r="23" spans="1:212" ht="20.25" customHeight="1">
      <c r="A23" s="585" t="s">
        <v>50</v>
      </c>
      <c r="B23" s="421">
        <f>Daten!L17</f>
        <v>89.55465587044534</v>
      </c>
      <c r="C23" s="405">
        <f>Daten!M17</f>
        <v>4</v>
      </c>
      <c r="D23" s="426">
        <f>Daten!N42</f>
        <v>123495.7788631975</v>
      </c>
      <c r="E23" s="431">
        <f t="shared" si="0"/>
        <v>123495.7788631975</v>
      </c>
      <c r="F23" s="682"/>
      <c r="G23" s="143"/>
      <c r="H23" s="683"/>
      <c r="I23" s="421">
        <f>Daten!C17+Daten!F17+Daten!I17+Daten!O17</f>
        <v>191.90283400809716</v>
      </c>
      <c r="J23" s="143">
        <v>9</v>
      </c>
      <c r="K23" s="383">
        <f>K22+K22*$H$7</f>
        <v>30757.53759384375</v>
      </c>
      <c r="L23" s="44">
        <f>$E$42</f>
        <v>124354.46991865101</v>
      </c>
      <c r="M23" s="44">
        <f>$E$35/$H$9</f>
        <v>48300</v>
      </c>
      <c r="N23" s="431">
        <f t="shared" si="2"/>
        <v>155112.00751249475</v>
      </c>
      <c r="O23" s="554">
        <f>Daten!$F$86+Daten!$N$86+Daten!$V$86+Daten!$J$86</f>
        <v>41750</v>
      </c>
      <c r="P23" s="686">
        <f t="shared" si="4"/>
        <v>281.4574898785425</v>
      </c>
      <c r="Q23" s="686">
        <f t="shared" si="4"/>
        <v>13</v>
      </c>
      <c r="R23" s="455">
        <f t="shared" si="3"/>
        <v>278607.78637569223</v>
      </c>
      <c r="S23" s="30"/>
      <c r="HC23"/>
      <c r="HD23"/>
    </row>
    <row r="24" spans="1:212" ht="20.25" customHeight="1">
      <c r="A24" s="585" t="s">
        <v>51</v>
      </c>
      <c r="B24" s="421">
        <f>Daten!L18</f>
        <v>78.67206477732795</v>
      </c>
      <c r="C24" s="405">
        <f>Daten!M18</f>
        <v>4</v>
      </c>
      <c r="D24" s="426">
        <f>Daten!N43</f>
        <v>123495.7788631975</v>
      </c>
      <c r="E24" s="431">
        <f t="shared" si="0"/>
        <v>123495.7788631975</v>
      </c>
      <c r="F24" s="682"/>
      <c r="G24" s="143"/>
      <c r="H24" s="683"/>
      <c r="I24" s="421">
        <f>Daten!C18+Daten!F18+Daten!I18+Daten!O18</f>
        <v>168.58299595141702</v>
      </c>
      <c r="J24" s="143">
        <v>8</v>
      </c>
      <c r="K24" s="383">
        <f>K23</f>
        <v>30757.53759384375</v>
      </c>
      <c r="L24" s="407"/>
      <c r="M24" s="44">
        <f>$E$35/$H$9</f>
        <v>48300</v>
      </c>
      <c r="N24" s="431">
        <f t="shared" si="2"/>
        <v>30757.53759384375</v>
      </c>
      <c r="O24" s="554">
        <f>Daten!$F$86+Daten!$N$86+Daten!$V$86+Daten!$J$86</f>
        <v>41750</v>
      </c>
      <c r="P24" s="686">
        <f t="shared" si="4"/>
        <v>247.25506072874498</v>
      </c>
      <c r="Q24" s="686">
        <f t="shared" si="4"/>
        <v>12</v>
      </c>
      <c r="R24" s="455">
        <f t="shared" si="3"/>
        <v>154253.31645704125</v>
      </c>
      <c r="S24" s="30"/>
      <c r="HC24"/>
      <c r="HD24"/>
    </row>
    <row r="25" spans="1:212" ht="20.25" customHeight="1" thickBot="1">
      <c r="A25" s="586" t="s">
        <v>52</v>
      </c>
      <c r="B25" s="423">
        <f>Daten!L19</f>
        <v>71.19028340080972</v>
      </c>
      <c r="C25" s="424">
        <f>Daten!M19</f>
        <v>4</v>
      </c>
      <c r="D25" s="427">
        <f>Daten!N44</f>
        <v>123495.7788631975</v>
      </c>
      <c r="E25" s="432">
        <f t="shared" si="0"/>
        <v>123495.7788631975</v>
      </c>
      <c r="F25" s="684"/>
      <c r="G25" s="146"/>
      <c r="H25" s="439"/>
      <c r="I25" s="423">
        <f>Daten!C19+Daten!F19+Daten!I19+Daten!O19</f>
        <v>152.5506072874494</v>
      </c>
      <c r="J25" s="146">
        <v>8</v>
      </c>
      <c r="K25" s="402">
        <f>K24</f>
        <v>30757.53759384375</v>
      </c>
      <c r="L25" s="448"/>
      <c r="M25" s="446">
        <f>$E$35/$H$9</f>
        <v>48300</v>
      </c>
      <c r="N25" s="432">
        <f t="shared" si="2"/>
        <v>30757.53759384375</v>
      </c>
      <c r="O25" s="555">
        <f>Daten!$F$86+Daten!$N$86+Daten!$V$86+Daten!$J$86</f>
        <v>41750</v>
      </c>
      <c r="P25" s="687">
        <f t="shared" si="4"/>
        <v>223.74089068825913</v>
      </c>
      <c r="Q25" s="687">
        <f t="shared" si="4"/>
        <v>12</v>
      </c>
      <c r="R25" s="456">
        <f t="shared" si="3"/>
        <v>154253.31645704125</v>
      </c>
      <c r="S25" s="30"/>
      <c r="HC25"/>
      <c r="HD25"/>
    </row>
    <row r="26" spans="1:20" ht="15.75">
      <c r="A26" s="116"/>
      <c r="B26" s="33"/>
      <c r="C26" s="33"/>
      <c r="D26" s="33"/>
      <c r="E26" s="33"/>
      <c r="F26" s="26"/>
      <c r="G26" s="26"/>
      <c r="H26" s="33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33"/>
    </row>
    <row r="27" spans="2:20" ht="15.75">
      <c r="B27" s="379" t="s">
        <v>94</v>
      </c>
      <c r="C27" s="122"/>
      <c r="D27" s="66"/>
      <c r="E27" s="66"/>
      <c r="F27" s="68"/>
      <c r="H27" s="28"/>
      <c r="I27" s="66"/>
      <c r="P27" s="68"/>
      <c r="Q27" s="68"/>
      <c r="R27" s="66"/>
      <c r="S27" s="66"/>
      <c r="T27" s="30"/>
    </row>
    <row r="28" spans="2:20" ht="16.5" thickBot="1">
      <c r="B28" s="66"/>
      <c r="C28" s="163"/>
      <c r="D28" s="380"/>
      <c r="E28" s="380"/>
      <c r="F28" s="68"/>
      <c r="H28" s="378"/>
      <c r="I28" s="66"/>
      <c r="P28" s="68"/>
      <c r="Q28" s="68"/>
      <c r="R28" s="66"/>
      <c r="S28" s="66"/>
      <c r="T28" s="30"/>
    </row>
    <row r="29" spans="1:20" ht="19.5" customHeight="1">
      <c r="A29" s="47"/>
      <c r="B29" s="390">
        <v>10</v>
      </c>
      <c r="C29" s="391" t="s">
        <v>25</v>
      </c>
      <c r="D29" s="392"/>
      <c r="E29" s="179">
        <f>B29*Daten!D91</f>
        <v>550</v>
      </c>
      <c r="F29" s="393" t="s">
        <v>27</v>
      </c>
      <c r="G29" s="30"/>
      <c r="H29" s="28"/>
      <c r="I29" s="66"/>
      <c r="P29" s="66"/>
      <c r="Q29" s="66"/>
      <c r="R29" s="66"/>
      <c r="S29" s="66"/>
      <c r="T29" s="30"/>
    </row>
    <row r="30" spans="1:20" ht="19.5" customHeight="1">
      <c r="A30" s="47"/>
      <c r="B30" s="53">
        <v>2</v>
      </c>
      <c r="C30" s="274" t="s">
        <v>19</v>
      </c>
      <c r="D30" s="50"/>
      <c r="E30" s="45">
        <f>B30*Daten!D92</f>
        <v>100</v>
      </c>
      <c r="F30" s="55" t="s">
        <v>27</v>
      </c>
      <c r="G30" s="30"/>
      <c r="H30" s="28"/>
      <c r="I30" s="66"/>
      <c r="P30" s="66"/>
      <c r="Q30" s="66"/>
      <c r="R30" s="66"/>
      <c r="S30" s="66"/>
      <c r="T30" s="30"/>
    </row>
    <row r="31" spans="1:20" ht="19.5" customHeight="1">
      <c r="A31" s="47"/>
      <c r="B31" s="53">
        <v>4</v>
      </c>
      <c r="C31" s="274" t="s">
        <v>22</v>
      </c>
      <c r="D31" s="50"/>
      <c r="E31" s="45">
        <f>B31*Daten!D93</f>
        <v>100</v>
      </c>
      <c r="F31" s="55" t="s">
        <v>27</v>
      </c>
      <c r="G31" s="30"/>
      <c r="H31" s="28"/>
      <c r="I31" s="66"/>
      <c r="P31" s="66"/>
      <c r="Q31" s="66"/>
      <c r="R31" s="66"/>
      <c r="S31" s="66"/>
      <c r="T31" s="30"/>
    </row>
    <row r="32" spans="1:20" ht="19.5" customHeight="1">
      <c r="A32" s="47"/>
      <c r="B32" s="53">
        <v>2</v>
      </c>
      <c r="C32" s="274" t="s">
        <v>39</v>
      </c>
      <c r="D32" s="50"/>
      <c r="E32" s="45">
        <f>B32*Daten!D94</f>
        <v>90</v>
      </c>
      <c r="F32" s="55" t="s">
        <v>27</v>
      </c>
      <c r="G32" s="30"/>
      <c r="H32" s="28"/>
      <c r="I32" s="66"/>
      <c r="P32" s="66"/>
      <c r="Q32" s="66"/>
      <c r="R32" s="66"/>
      <c r="S32" s="66"/>
      <c r="T32" s="30"/>
    </row>
    <row r="33" spans="1:20" ht="19.5" customHeight="1">
      <c r="A33" s="47"/>
      <c r="B33" s="394"/>
      <c r="C33" s="274" t="s">
        <v>20</v>
      </c>
      <c r="D33" s="50"/>
      <c r="E33" s="381">
        <f>SUM(E29:E32)*Daten!D95</f>
        <v>210</v>
      </c>
      <c r="F33" s="55" t="s">
        <v>27</v>
      </c>
      <c r="G33" s="30"/>
      <c r="H33" s="28"/>
      <c r="I33" s="66"/>
      <c r="P33" s="66"/>
      <c r="Q33" s="66"/>
      <c r="R33" s="66"/>
      <c r="S33" s="66"/>
      <c r="T33" s="30"/>
    </row>
    <row r="34" spans="1:20" ht="19.5" customHeight="1">
      <c r="A34" s="47"/>
      <c r="B34" s="53"/>
      <c r="C34" s="274" t="s">
        <v>53</v>
      </c>
      <c r="D34" s="50"/>
      <c r="E34" s="382">
        <f>SUM(E29:E33)</f>
        <v>1050</v>
      </c>
      <c r="F34" s="55" t="s">
        <v>27</v>
      </c>
      <c r="G34" s="30"/>
      <c r="H34" s="28"/>
      <c r="I34" s="66"/>
      <c r="P34" s="66"/>
      <c r="Q34" s="66"/>
      <c r="R34" s="66"/>
      <c r="S34" s="66"/>
      <c r="T34" s="30"/>
    </row>
    <row r="35" spans="1:20" ht="19.5" customHeight="1">
      <c r="A35" s="47"/>
      <c r="B35" s="395"/>
      <c r="C35" s="387" t="s">
        <v>95</v>
      </c>
      <c r="D35" s="388"/>
      <c r="E35" s="389">
        <f>E34*Daten!D96</f>
        <v>2415000</v>
      </c>
      <c r="F35" s="396"/>
      <c r="G35" s="30"/>
      <c r="H35" s="28"/>
      <c r="I35" s="66"/>
      <c r="P35" s="273"/>
      <c r="Q35" s="273"/>
      <c r="R35" s="66"/>
      <c r="S35" s="66"/>
      <c r="T35" s="30"/>
    </row>
    <row r="36" spans="1:20" ht="19.5" customHeight="1">
      <c r="A36" s="47"/>
      <c r="B36" s="397"/>
      <c r="C36" s="385" t="s">
        <v>24</v>
      </c>
      <c r="D36" s="386"/>
      <c r="E36" s="56"/>
      <c r="F36" s="152"/>
      <c r="G36" s="30"/>
      <c r="H36" s="28"/>
      <c r="I36" s="66"/>
      <c r="P36" s="68"/>
      <c r="Q36" s="68"/>
      <c r="R36" s="66"/>
      <c r="S36" s="66"/>
      <c r="T36" s="30"/>
    </row>
    <row r="37" spans="1:20" ht="19.5" customHeight="1">
      <c r="A37" s="47"/>
      <c r="B37" s="53"/>
      <c r="C37" s="571" t="s">
        <v>125</v>
      </c>
      <c r="D37" s="45"/>
      <c r="E37" s="45">
        <v>3000</v>
      </c>
      <c r="F37" s="52" t="s">
        <v>27</v>
      </c>
      <c r="G37" s="30"/>
      <c r="H37" s="28"/>
      <c r="I37" s="66"/>
      <c r="P37" s="68"/>
      <c r="Q37" s="68"/>
      <c r="R37" s="66"/>
      <c r="S37" s="66"/>
      <c r="T37" s="30"/>
    </row>
    <row r="38" spans="1:20" ht="19.5" customHeight="1">
      <c r="A38" s="47"/>
      <c r="B38" s="53"/>
      <c r="C38" s="571" t="s">
        <v>10</v>
      </c>
      <c r="D38" s="45"/>
      <c r="E38" s="383">
        <v>80</v>
      </c>
      <c r="F38" s="52"/>
      <c r="G38" s="30"/>
      <c r="H38" s="28"/>
      <c r="I38" s="66"/>
      <c r="P38" s="68"/>
      <c r="Q38" s="68"/>
      <c r="R38" s="66"/>
      <c r="S38" s="66"/>
      <c r="T38" s="30"/>
    </row>
    <row r="39" spans="1:20" ht="19.5" customHeight="1">
      <c r="A39" s="47"/>
      <c r="B39" s="53"/>
      <c r="C39" s="571" t="s">
        <v>126</v>
      </c>
      <c r="D39" s="45"/>
      <c r="E39" s="44">
        <f>E37*E38</f>
        <v>240000</v>
      </c>
      <c r="F39" s="52"/>
      <c r="G39" s="30"/>
      <c r="H39" s="28"/>
      <c r="I39" s="66"/>
      <c r="P39" s="68"/>
      <c r="Q39" s="68"/>
      <c r="R39" s="66"/>
      <c r="S39" s="66"/>
      <c r="T39" s="30"/>
    </row>
    <row r="40" spans="1:20" ht="19.5" customHeight="1">
      <c r="A40" s="47"/>
      <c r="B40" s="53"/>
      <c r="C40" s="384" t="s">
        <v>96</v>
      </c>
      <c r="D40" s="50"/>
      <c r="E40" s="383">
        <f>$E$35*Daten!D97</f>
        <v>804919.5</v>
      </c>
      <c r="F40" s="572" t="s">
        <v>127</v>
      </c>
      <c r="G40" s="30"/>
      <c r="H40" s="28"/>
      <c r="I40" s="66"/>
      <c r="P40" s="68"/>
      <c r="Q40" s="68"/>
      <c r="R40" s="66"/>
      <c r="S40" s="66"/>
      <c r="T40" s="30"/>
    </row>
    <row r="41" spans="1:20" ht="19.5" customHeight="1">
      <c r="A41" s="47"/>
      <c r="B41" s="398"/>
      <c r="C41" s="274" t="s">
        <v>15</v>
      </c>
      <c r="D41" s="50"/>
      <c r="E41" s="383">
        <f>$E$35*Daten!D98+E39</f>
        <v>1850080.5000000002</v>
      </c>
      <c r="F41" s="572" t="s">
        <v>128</v>
      </c>
      <c r="G41" s="30"/>
      <c r="H41" s="28"/>
      <c r="I41" s="66"/>
      <c r="P41" s="68"/>
      <c r="Q41" s="68"/>
      <c r="R41" s="66"/>
      <c r="S41" s="66"/>
      <c r="T41" s="30"/>
    </row>
    <row r="42" spans="1:20" ht="15.75">
      <c r="A42" s="47"/>
      <c r="B42" s="395"/>
      <c r="C42" s="387" t="s">
        <v>71</v>
      </c>
      <c r="D42" s="650"/>
      <c r="E42" s="389">
        <f>(((Daten!$D$100*(1+Daten!$D$100)^Daten!$D$99)/((1+Daten!$D$100)^Daten!$D$99-1))*'K + Dneu'!$E$41)</f>
        <v>124354.46991865101</v>
      </c>
      <c r="F42" s="151"/>
      <c r="G42" s="30"/>
      <c r="H42" s="378"/>
      <c r="I42" s="68"/>
      <c r="J42" s="272"/>
      <c r="K42" s="66"/>
      <c r="L42" s="68"/>
      <c r="M42" s="68"/>
      <c r="N42" s="68"/>
      <c r="O42" s="68"/>
      <c r="P42" s="68"/>
      <c r="Q42" s="68"/>
      <c r="R42" s="66"/>
      <c r="S42" s="68"/>
      <c r="T42" s="31"/>
    </row>
    <row r="43" spans="1:7" ht="15.75">
      <c r="A43" s="47"/>
      <c r="B43" s="53"/>
      <c r="C43" s="571" t="s">
        <v>151</v>
      </c>
      <c r="D43" s="45"/>
      <c r="E43" s="389">
        <v>8</v>
      </c>
      <c r="F43" s="52" t="s">
        <v>152</v>
      </c>
      <c r="G43" s="30"/>
    </row>
    <row r="44" spans="1:7" ht="16.5" thickBot="1">
      <c r="A44" s="47"/>
      <c r="B44" s="399"/>
      <c r="C44" s="651" t="s">
        <v>151</v>
      </c>
      <c r="D44" s="652"/>
      <c r="E44" s="402">
        <f>E43*E34</f>
        <v>8400</v>
      </c>
      <c r="F44" s="653" t="s">
        <v>153</v>
      </c>
      <c r="G44" s="30"/>
    </row>
    <row r="45" spans="2:6" ht="15.75">
      <c r="B45" s="26"/>
      <c r="C45" s="26"/>
      <c r="D45" s="26"/>
      <c r="E45" s="26"/>
      <c r="F45" s="26"/>
    </row>
  </sheetData>
  <printOptions/>
  <pageMargins left="0.24" right="0.22" top="0.45" bottom="0.54" header="0.4921259845" footer="0.4921259845"/>
  <pageSetup fitToHeight="1" fitToWidth="1" horizontalDpi="300" verticalDpi="3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44"/>
  <sheetViews>
    <sheetView workbookViewId="0" topLeftCell="D2">
      <selection activeCell="N21" sqref="N21"/>
    </sheetView>
  </sheetViews>
  <sheetFormatPr defaultColWidth="11.421875" defaultRowHeight="12.75"/>
  <cols>
    <col min="1" max="1" width="23.8515625" style="1" customWidth="1"/>
    <col min="2" max="2" width="8.7109375" style="2" customWidth="1"/>
    <col min="3" max="3" width="9.28125" style="2" customWidth="1"/>
    <col min="4" max="4" width="12.8515625" style="2" customWidth="1"/>
    <col min="5" max="5" width="13.7109375" style="2" customWidth="1"/>
    <col min="6" max="10" width="14.28125" style="2" customWidth="1"/>
    <col min="11" max="11" width="10.57421875" style="2" customWidth="1"/>
    <col min="12" max="12" width="9.8515625" style="2" customWidth="1"/>
    <col min="13" max="13" width="11.8515625" style="2" customWidth="1"/>
    <col min="14" max="14" width="9.421875" style="2" customWidth="1"/>
    <col min="15" max="15" width="10.28125" style="2" customWidth="1"/>
    <col min="16" max="16" width="11.8515625" style="2" customWidth="1"/>
    <col min="17" max="18" width="12.421875" style="2" customWidth="1"/>
    <col min="19" max="20" width="14.00390625" style="2" customWidth="1"/>
    <col min="21" max="21" width="9.28125" style="2" customWidth="1"/>
    <col min="22" max="22" width="10.140625" style="2" customWidth="1"/>
    <col min="23" max="23" width="18.140625" style="2" customWidth="1"/>
    <col min="24" max="215" width="11.421875" style="2" customWidth="1"/>
  </cols>
  <sheetData>
    <row r="1" spans="1:2" ht="18">
      <c r="A1" s="4"/>
      <c r="B1" s="373" t="s">
        <v>129</v>
      </c>
    </row>
    <row r="2" spans="1:2" ht="18">
      <c r="A2" s="4"/>
      <c r="B2" s="374" t="s">
        <v>138</v>
      </c>
    </row>
    <row r="3" spans="1:12" ht="18">
      <c r="A3" s="4"/>
      <c r="B3" s="374" t="s">
        <v>185</v>
      </c>
      <c r="K3" s="478"/>
      <c r="L3" s="479"/>
    </row>
    <row r="4" spans="1:12" ht="18">
      <c r="A4" s="4"/>
      <c r="B4" s="374" t="s">
        <v>184</v>
      </c>
      <c r="K4" s="458"/>
      <c r="L4" s="458"/>
    </row>
    <row r="5" spans="1:12" ht="18">
      <c r="A5" s="4"/>
      <c r="B5" s="374" t="s">
        <v>146</v>
      </c>
      <c r="H5" s="44">
        <v>5000</v>
      </c>
      <c r="K5" s="478"/>
      <c r="L5" s="479"/>
    </row>
    <row r="6" spans="1:12" ht="18">
      <c r="A6" s="4"/>
      <c r="B6" s="374" t="s">
        <v>192</v>
      </c>
      <c r="K6" s="573"/>
      <c r="L6" s="574"/>
    </row>
    <row r="7" spans="1:2" ht="18">
      <c r="A7" s="4"/>
      <c r="B7" s="374" t="s">
        <v>191</v>
      </c>
    </row>
    <row r="8" spans="1:2" ht="18">
      <c r="A8" s="4"/>
      <c r="B8" s="374" t="s">
        <v>121</v>
      </c>
    </row>
    <row r="9" spans="2:24" ht="15.75">
      <c r="B9" s="374" t="s">
        <v>115</v>
      </c>
      <c r="H9" s="518">
        <v>50</v>
      </c>
      <c r="I9" s="479" t="s">
        <v>64</v>
      </c>
      <c r="X9" s="25"/>
    </row>
    <row r="10" ht="15.75">
      <c r="X10" s="66"/>
    </row>
    <row r="11" spans="2:218" ht="16.5" thickBot="1">
      <c r="B11" s="39"/>
      <c r="C11" s="39"/>
      <c r="D11" s="39"/>
      <c r="E11" s="39"/>
      <c r="F11" s="39"/>
      <c r="G11" s="39"/>
      <c r="H11" s="48"/>
      <c r="I11" s="48"/>
      <c r="J11" s="48"/>
      <c r="K11" s="412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66"/>
      <c r="AB11" s="30"/>
      <c r="HH11" s="2"/>
      <c r="HI11" s="2"/>
      <c r="HJ11" s="2"/>
    </row>
    <row r="12" spans="1:24" ht="15.75">
      <c r="A12" s="47"/>
      <c r="B12" s="578" t="s">
        <v>133</v>
      </c>
      <c r="C12" s="125"/>
      <c r="D12" s="579"/>
      <c r="E12" s="578" t="s">
        <v>134</v>
      </c>
      <c r="F12" s="125"/>
      <c r="G12" s="125"/>
      <c r="H12" s="125"/>
      <c r="I12" s="125"/>
      <c r="J12" s="126"/>
      <c r="K12" s="449" t="s">
        <v>132</v>
      </c>
      <c r="L12" s="435"/>
      <c r="M12" s="436"/>
      <c r="N12" s="600" t="s">
        <v>136</v>
      </c>
      <c r="O12" s="594"/>
      <c r="P12" s="601"/>
      <c r="Q12" s="414" t="s">
        <v>38</v>
      </c>
      <c r="R12" s="414"/>
      <c r="S12" s="414"/>
      <c r="T12" s="550" t="s">
        <v>98</v>
      </c>
      <c r="U12" s="613" t="s">
        <v>16</v>
      </c>
      <c r="V12" s="435"/>
      <c r="W12" s="436"/>
      <c r="X12" s="26"/>
    </row>
    <row r="13" spans="1:23" ht="15.75">
      <c r="A13" s="47"/>
      <c r="B13" s="127"/>
      <c r="C13" s="122"/>
      <c r="D13" s="122"/>
      <c r="E13" s="626"/>
      <c r="F13" s="122"/>
      <c r="G13" s="122"/>
      <c r="H13" s="122"/>
      <c r="I13" s="122"/>
      <c r="J13" s="580"/>
      <c r="K13" s="437"/>
      <c r="L13" s="593"/>
      <c r="M13" s="128"/>
      <c r="N13" s="602" t="s">
        <v>166</v>
      </c>
      <c r="O13" s="141"/>
      <c r="P13" s="41"/>
      <c r="Q13" s="596"/>
      <c r="R13" s="408"/>
      <c r="S13" s="409"/>
      <c r="T13" s="551" t="s">
        <v>99</v>
      </c>
      <c r="U13" s="614"/>
      <c r="V13" s="25"/>
      <c r="W13" s="450"/>
    </row>
    <row r="14" spans="1:23" ht="48" thickBot="1">
      <c r="A14" s="115"/>
      <c r="B14" s="416" t="s">
        <v>3</v>
      </c>
      <c r="C14" s="410" t="s">
        <v>14</v>
      </c>
      <c r="D14" s="425" t="s">
        <v>40</v>
      </c>
      <c r="E14" s="416" t="s">
        <v>3</v>
      </c>
      <c r="F14" s="410" t="s">
        <v>14</v>
      </c>
      <c r="G14" s="404" t="s">
        <v>40</v>
      </c>
      <c r="H14" s="404" t="s">
        <v>124</v>
      </c>
      <c r="I14" s="404" t="s">
        <v>114</v>
      </c>
      <c r="J14" s="430" t="s">
        <v>116</v>
      </c>
      <c r="K14" s="54" t="s">
        <v>3</v>
      </c>
      <c r="L14" s="46" t="s">
        <v>14</v>
      </c>
      <c r="M14" s="603" t="s">
        <v>40</v>
      </c>
      <c r="N14" s="595" t="s">
        <v>3</v>
      </c>
      <c r="O14" s="46" t="s">
        <v>14</v>
      </c>
      <c r="P14" s="581" t="s">
        <v>40</v>
      </c>
      <c r="Q14" s="597" t="s">
        <v>3</v>
      </c>
      <c r="R14" s="410" t="s">
        <v>14</v>
      </c>
      <c r="S14" s="425" t="s">
        <v>40</v>
      </c>
      <c r="T14" s="552"/>
      <c r="U14" s="611" t="s">
        <v>3</v>
      </c>
      <c r="V14" s="46" t="s">
        <v>14</v>
      </c>
      <c r="W14" s="521" t="s">
        <v>120</v>
      </c>
    </row>
    <row r="15" spans="1:23" ht="20.25" customHeight="1">
      <c r="A15" s="120" t="s">
        <v>43</v>
      </c>
      <c r="B15" s="417">
        <f>Daten!C8</f>
        <v>61</v>
      </c>
      <c r="C15" s="598">
        <f>Daten!D8</f>
        <v>4</v>
      </c>
      <c r="D15" s="426">
        <f>Daten!B33</f>
        <v>16722.7129</v>
      </c>
      <c r="E15" s="417">
        <f>Daten!O8</f>
        <v>67</v>
      </c>
      <c r="F15" s="411">
        <f>Daten!P8</f>
        <v>4</v>
      </c>
      <c r="G15" s="44">
        <f>Daten!R33</f>
        <v>46841.1465</v>
      </c>
      <c r="H15" s="45"/>
      <c r="I15" s="274"/>
      <c r="J15" s="431">
        <f>H15+G15</f>
        <v>46841.1465</v>
      </c>
      <c r="K15" s="54">
        <f>Daten!F8</f>
        <v>106</v>
      </c>
      <c r="L15" s="46">
        <f>Daten!G8</f>
        <v>6</v>
      </c>
      <c r="M15" s="422">
        <f>Daten!F33</f>
        <v>31083.53695</v>
      </c>
      <c r="N15" s="54">
        <f>Daten!I8</f>
        <v>104</v>
      </c>
      <c r="O15" s="54">
        <f>Daten!J8</f>
        <v>5</v>
      </c>
      <c r="P15" s="582">
        <f>Daten!J33</f>
        <v>35757.511</v>
      </c>
      <c r="Q15" s="598">
        <f>Daten!L8</f>
        <v>141</v>
      </c>
      <c r="R15" s="411">
        <f>Daten!M8</f>
        <v>6</v>
      </c>
      <c r="S15" s="426">
        <f>Daten!N33</f>
        <v>75102.2875</v>
      </c>
      <c r="T15" s="553"/>
      <c r="U15" s="612"/>
      <c r="V15" s="406"/>
      <c r="W15" s="452"/>
    </row>
    <row r="16" spans="1:23" ht="20.25" customHeight="1">
      <c r="A16" s="121" t="s">
        <v>44</v>
      </c>
      <c r="B16" s="417">
        <f>Daten!C9</f>
        <v>59</v>
      </c>
      <c r="C16" s="598">
        <f>Daten!D9</f>
        <v>4</v>
      </c>
      <c r="D16" s="426">
        <f>Daten!B34</f>
        <v>17029.7022385</v>
      </c>
      <c r="E16" s="417">
        <f>Daten!O9</f>
        <v>67</v>
      </c>
      <c r="F16" s="411">
        <f>Daten!P9</f>
        <v>4</v>
      </c>
      <c r="G16" s="44">
        <f>Daten!R34</f>
        <v>47426.5200225</v>
      </c>
      <c r="H16" s="45"/>
      <c r="I16" s="274"/>
      <c r="J16" s="431">
        <f aca="true" t="shared" si="0" ref="J16:J26">H16+G16</f>
        <v>47426.5200225</v>
      </c>
      <c r="K16" s="54">
        <f>Daten!F9</f>
        <v>102</v>
      </c>
      <c r="L16" s="46">
        <f>Daten!G9</f>
        <v>5</v>
      </c>
      <c r="M16" s="422">
        <f>Daten!F34</f>
        <v>31486.220851749997</v>
      </c>
      <c r="N16" s="54">
        <f>Daten!I9</f>
        <v>93</v>
      </c>
      <c r="O16" s="54">
        <f>Daten!J9</f>
        <v>5</v>
      </c>
      <c r="P16" s="582">
        <f>Daten!J34</f>
        <v>36108.440214999995</v>
      </c>
      <c r="Q16" s="598">
        <f>Daten!L9</f>
        <v>136</v>
      </c>
      <c r="R16" s="411">
        <f>Daten!M9</f>
        <v>7</v>
      </c>
      <c r="S16" s="426">
        <f>Daten!N34</f>
        <v>76245.0191875</v>
      </c>
      <c r="T16" s="553"/>
      <c r="U16" s="615"/>
      <c r="V16" s="406"/>
      <c r="W16" s="454"/>
    </row>
    <row r="17" spans="1:23" ht="20.25" customHeight="1">
      <c r="A17" s="121" t="s">
        <v>45</v>
      </c>
      <c r="B17" s="765" t="s">
        <v>135</v>
      </c>
      <c r="C17" s="766"/>
      <c r="D17" s="766"/>
      <c r="E17" s="417">
        <f>Daten!C10+Daten!O10</f>
        <v>126</v>
      </c>
      <c r="F17" s="411">
        <v>7</v>
      </c>
      <c r="G17" s="44">
        <f>Daten!R35+$H$5</f>
        <v>53049.9428239625</v>
      </c>
      <c r="H17" s="44">
        <f>$E$41</f>
        <v>18653.291476071325</v>
      </c>
      <c r="I17" s="519">
        <f>$E$38/$H$9</f>
        <v>8325</v>
      </c>
      <c r="J17" s="431">
        <f t="shared" si="0"/>
        <v>71703.23430003383</v>
      </c>
      <c r="K17" s="54">
        <f>Daten!F10</f>
        <v>97</v>
      </c>
      <c r="L17" s="46">
        <f>Daten!G10</f>
        <v>5</v>
      </c>
      <c r="M17" s="422">
        <f>Daten!F35</f>
        <v>31915.079207113744</v>
      </c>
      <c r="N17" s="54">
        <f>Daten!I10</f>
        <v>76</v>
      </c>
      <c r="O17" s="54">
        <f>Daten!J10</f>
        <v>4</v>
      </c>
      <c r="P17" s="582">
        <f>Daten!J35</f>
        <v>36482.17982897499</v>
      </c>
      <c r="Q17" s="598">
        <f>Daten!L10</f>
        <v>124</v>
      </c>
      <c r="R17" s="411">
        <f>Daten!M10</f>
        <v>7</v>
      </c>
      <c r="S17" s="426">
        <f>Daten!N35-$K$3</f>
        <v>77462.0284346875</v>
      </c>
      <c r="T17" s="554">
        <f>Daten!$F$86</f>
        <v>8500</v>
      </c>
      <c r="U17" s="588">
        <f aca="true" t="shared" si="1" ref="U17:V20">N17+K17+Q17+E17</f>
        <v>423</v>
      </c>
      <c r="V17" s="588">
        <f t="shared" si="1"/>
        <v>23</v>
      </c>
      <c r="W17" s="455">
        <f>S17+P17+M17+J17</f>
        <v>217562.52177081007</v>
      </c>
    </row>
    <row r="18" spans="1:23" ht="20.25" customHeight="1">
      <c r="A18" s="121" t="s">
        <v>46</v>
      </c>
      <c r="B18" s="417"/>
      <c r="C18" s="598"/>
      <c r="D18" s="426"/>
      <c r="E18" s="417">
        <f>Daten!C11+Daten!O11</f>
        <v>109</v>
      </c>
      <c r="F18" s="411">
        <v>6</v>
      </c>
      <c r="G18" s="44">
        <f>Daten!R36+$H$5</f>
        <v>53713.88810752006</v>
      </c>
      <c r="H18" s="44">
        <f aca="true" t="shared" si="2" ref="H18:H24">$E$41</f>
        <v>18653.291476071325</v>
      </c>
      <c r="I18" s="519">
        <f>$E$38/$H$9</f>
        <v>8325</v>
      </c>
      <c r="J18" s="431">
        <f t="shared" si="0"/>
        <v>72367.17958359138</v>
      </c>
      <c r="K18" s="54">
        <f>Daten!F11</f>
        <v>86</v>
      </c>
      <c r="L18" s="46">
        <f>Daten!G11</f>
        <v>4</v>
      </c>
      <c r="M18" s="422">
        <f>Daten!F36</f>
        <v>32371.813355576134</v>
      </c>
      <c r="N18" s="54">
        <f>Daten!I11</f>
        <v>75</v>
      </c>
      <c r="O18" s="54">
        <f>Daten!J11</f>
        <v>4</v>
      </c>
      <c r="P18" s="582">
        <f>Daten!J36</f>
        <v>36880.21251785837</v>
      </c>
      <c r="Q18" s="598">
        <f>Daten!L11</f>
        <v>110</v>
      </c>
      <c r="R18" s="411">
        <f>Daten!M11</f>
        <v>6</v>
      </c>
      <c r="S18" s="426">
        <f>Daten!N36-$K$3</f>
        <v>78758.14328294218</v>
      </c>
      <c r="T18" s="554">
        <f>Daten!$F$86</f>
        <v>8500</v>
      </c>
      <c r="U18" s="588">
        <f t="shared" si="1"/>
        <v>380</v>
      </c>
      <c r="V18" s="588">
        <f t="shared" si="1"/>
        <v>20</v>
      </c>
      <c r="W18" s="455">
        <f>S18+P18+M18+J18</f>
        <v>220377.34873996806</v>
      </c>
    </row>
    <row r="19" spans="1:23" ht="20.25" customHeight="1">
      <c r="A19" s="121" t="s">
        <v>47</v>
      </c>
      <c r="B19" s="417"/>
      <c r="C19" s="598"/>
      <c r="D19" s="426"/>
      <c r="E19" s="417">
        <f>Daten!C12+Daten!O12</f>
        <v>102</v>
      </c>
      <c r="F19" s="411">
        <v>5</v>
      </c>
      <c r="G19" s="44">
        <f>Daten!R37+$H$5</f>
        <v>54420.989834508866</v>
      </c>
      <c r="H19" s="44">
        <f t="shared" si="2"/>
        <v>18653.291476071325</v>
      </c>
      <c r="I19" s="519">
        <f>$E$38/$H$9</f>
        <v>8325</v>
      </c>
      <c r="J19" s="431">
        <f t="shared" si="0"/>
        <v>73074.28131058019</v>
      </c>
      <c r="K19" s="54">
        <f>Daten!F12</f>
        <v>76</v>
      </c>
      <c r="L19" s="46">
        <f>Daten!G12</f>
        <v>4</v>
      </c>
      <c r="M19" s="422">
        <f>Daten!F37</f>
        <v>32858.23522368858</v>
      </c>
      <c r="N19" s="54">
        <f>Daten!I12</f>
        <v>70</v>
      </c>
      <c r="O19" s="54">
        <f>Daten!J12</f>
        <v>4</v>
      </c>
      <c r="P19" s="582">
        <f>Daten!J37</f>
        <v>37304.117331519155</v>
      </c>
      <c r="Q19" s="598">
        <f>Daten!L12</f>
        <v>113</v>
      </c>
      <c r="R19" s="411">
        <f>Daten!M12</f>
        <v>6</v>
      </c>
      <c r="S19" s="426">
        <f>Daten!N37-$K$3</f>
        <v>80138.50559633343</v>
      </c>
      <c r="T19" s="554">
        <f>Daten!$F$86+Daten!$J$86</f>
        <v>19600</v>
      </c>
      <c r="U19" s="588">
        <f t="shared" si="1"/>
        <v>361</v>
      </c>
      <c r="V19" s="588">
        <f t="shared" si="1"/>
        <v>19</v>
      </c>
      <c r="W19" s="455">
        <f>S19+P19+M19+J19</f>
        <v>223375.13946212135</v>
      </c>
    </row>
    <row r="20" spans="1:215" s="70" customFormat="1" ht="20.25" customHeight="1">
      <c r="A20" s="121" t="s">
        <v>48</v>
      </c>
      <c r="B20" s="417"/>
      <c r="C20" s="598"/>
      <c r="D20" s="426"/>
      <c r="E20" s="417">
        <f>Daten!C13+Daten!O13</f>
        <v>90</v>
      </c>
      <c r="F20" s="411">
        <v>4</v>
      </c>
      <c r="G20" s="44">
        <f>Daten!R38+$H$5</f>
        <v>55174.05317375194</v>
      </c>
      <c r="H20" s="44">
        <f t="shared" si="2"/>
        <v>18653.291476071325</v>
      </c>
      <c r="I20" s="519">
        <f>$E$38/$H$9</f>
        <v>8325</v>
      </c>
      <c r="J20" s="431">
        <f t="shared" si="0"/>
        <v>73827.34464982327</v>
      </c>
      <c r="K20" s="54">
        <f>Daten!F13</f>
        <v>70</v>
      </c>
      <c r="L20" s="46">
        <f>Daten!G13</f>
        <v>4</v>
      </c>
      <c r="M20" s="422">
        <f>Daten!F38</f>
        <v>33376.27451322834</v>
      </c>
      <c r="N20" s="54">
        <f>Daten!I13</f>
        <v>67</v>
      </c>
      <c r="O20" s="54">
        <f>Daten!J13</f>
        <v>4</v>
      </c>
      <c r="P20" s="582">
        <f>Daten!J38</f>
        <v>37755.5759580679</v>
      </c>
      <c r="Q20" s="598">
        <f>Daten!L13</f>
        <v>102</v>
      </c>
      <c r="R20" s="411">
        <f>Daten!M13</f>
        <v>5</v>
      </c>
      <c r="S20" s="426">
        <f>Daten!N38-$K$3</f>
        <v>81608.59146009511</v>
      </c>
      <c r="T20" s="554">
        <f>Daten!$F$86+Daten!$J$86</f>
        <v>19600</v>
      </c>
      <c r="U20" s="588">
        <f t="shared" si="1"/>
        <v>329</v>
      </c>
      <c r="V20" s="588">
        <f t="shared" si="1"/>
        <v>17</v>
      </c>
      <c r="W20" s="455">
        <f>S20+P20+M20+J20</f>
        <v>226567.7865812146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</row>
    <row r="21" spans="1:215" s="70" customFormat="1" ht="20.25" customHeight="1" thickBot="1">
      <c r="A21" s="641" t="s">
        <v>147</v>
      </c>
      <c r="B21" s="418"/>
      <c r="C21" s="599"/>
      <c r="D21" s="427"/>
      <c r="E21" s="418">
        <f>Daten!C14+Daten!O14+Daten!F14-3</f>
        <v>146</v>
      </c>
      <c r="F21" s="419">
        <v>7</v>
      </c>
      <c r="G21" s="446">
        <f>Daten!R39+$H$5</f>
        <v>55976.065630045814</v>
      </c>
      <c r="H21" s="446">
        <f t="shared" si="2"/>
        <v>18653.291476071325</v>
      </c>
      <c r="I21" s="520">
        <f>$E$38/$H$9</f>
        <v>8325</v>
      </c>
      <c r="J21" s="432">
        <f>H21+G21</f>
        <v>74629.35710611714</v>
      </c>
      <c r="K21" s="767" t="s">
        <v>154</v>
      </c>
      <c r="L21" s="768"/>
      <c r="M21" s="769"/>
      <c r="N21" s="182">
        <f>Daten!I14+3</f>
        <v>64</v>
      </c>
      <c r="O21" s="182">
        <v>4</v>
      </c>
      <c r="P21" s="583">
        <f>Daten!J39</f>
        <v>38236.379395342316</v>
      </c>
      <c r="Q21" s="599">
        <f>Daten!L14</f>
        <v>98</v>
      </c>
      <c r="R21" s="419">
        <f>Daten!M14</f>
        <v>4</v>
      </c>
      <c r="S21" s="427">
        <f>Daten!N39-$K$3</f>
        <v>83174.23290500129</v>
      </c>
      <c r="T21" s="555">
        <f>Daten!$F$86+Daten!$J$86</f>
        <v>19600</v>
      </c>
      <c r="U21" s="589">
        <f>N21+Q21+E21</f>
        <v>308</v>
      </c>
      <c r="V21" s="589">
        <f>O21+R21+F21</f>
        <v>15</v>
      </c>
      <c r="W21" s="456">
        <f>S21+P21+M21+J21</f>
        <v>196039.96940646076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</row>
    <row r="22" spans="1:215" s="69" customFormat="1" ht="20.25" customHeight="1" thickBot="1">
      <c r="A22" s="122" t="s">
        <v>7</v>
      </c>
      <c r="B22" s="122"/>
      <c r="C22" s="122"/>
      <c r="D22" s="122"/>
      <c r="E22" s="606"/>
      <c r="F22" s="122"/>
      <c r="G22" s="689"/>
      <c r="H22" s="67"/>
      <c r="I22" s="67"/>
      <c r="J22" s="67"/>
      <c r="K22" s="68"/>
      <c r="L22" s="68"/>
      <c r="M22" s="607"/>
      <c r="N22" s="68"/>
      <c r="O22" s="68"/>
      <c r="P22" s="592"/>
      <c r="Q22" s="608"/>
      <c r="R22" s="608"/>
      <c r="S22" s="592"/>
      <c r="T22" s="628"/>
      <c r="U22" s="608"/>
      <c r="V22" s="608"/>
      <c r="W22" s="609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</row>
    <row r="23" spans="1:215" s="72" customFormat="1" ht="20.25" customHeight="1">
      <c r="A23" s="584" t="s">
        <v>49</v>
      </c>
      <c r="B23" s="83"/>
      <c r="C23" s="575"/>
      <c r="D23" s="575"/>
      <c r="E23" s="590">
        <f>Daten!C16+Daten!O16+Daten!F16-3</f>
        <v>138.67495662232503</v>
      </c>
      <c r="F23" s="420">
        <v>7</v>
      </c>
      <c r="G23" s="447">
        <f>Daten!R41+$H$5</f>
        <v>60839.250728129846</v>
      </c>
      <c r="H23" s="447">
        <f t="shared" si="2"/>
        <v>18653.291476071325</v>
      </c>
      <c r="I23" s="629">
        <f>$E$38/$H$9</f>
        <v>8325</v>
      </c>
      <c r="J23" s="627">
        <f t="shared" si="0"/>
        <v>79492.54220420116</v>
      </c>
      <c r="K23" s="590"/>
      <c r="L23" s="420"/>
      <c r="M23" s="610"/>
      <c r="N23" s="590">
        <f>Daten!I16+3</f>
        <v>61.00115673799885</v>
      </c>
      <c r="O23" s="420">
        <v>4</v>
      </c>
      <c r="P23" s="591">
        <f>Daten!J41</f>
        <v>41151.84048688891</v>
      </c>
      <c r="Q23" s="587">
        <f>Daten!L16</f>
        <v>93.18218623481782</v>
      </c>
      <c r="R23" s="420">
        <f>Daten!M16</f>
        <v>4</v>
      </c>
      <c r="S23" s="567">
        <f>Daten!N41-$K$3</f>
        <v>92667.8562073064</v>
      </c>
      <c r="T23" s="630">
        <f>Daten!$F$86+Daten!$J$86</f>
        <v>19600</v>
      </c>
      <c r="U23" s="587">
        <f aca="true" t="shared" si="3" ref="U23:V26">N23+Q23+E23</f>
        <v>292.8582995951417</v>
      </c>
      <c r="V23" s="587">
        <f t="shared" si="3"/>
        <v>15</v>
      </c>
      <c r="W23" s="457">
        <f>S23+P23+M23+J23</f>
        <v>213312.23889839646</v>
      </c>
      <c r="X23" s="605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</row>
    <row r="24" spans="1:24" ht="20.25" customHeight="1">
      <c r="A24" s="585" t="s">
        <v>50</v>
      </c>
      <c r="B24" s="568"/>
      <c r="C24" s="576"/>
      <c r="D24" s="576"/>
      <c r="E24" s="417">
        <f>Daten!C17+Daten!O17+Daten!F17-3</f>
        <v>133.15962984384038</v>
      </c>
      <c r="F24" s="405">
        <v>7</v>
      </c>
      <c r="G24" s="44">
        <f>Daten!R42+$H$5</f>
        <v>76631.10272088955</v>
      </c>
      <c r="H24" s="44">
        <f t="shared" si="2"/>
        <v>18653.291476071325</v>
      </c>
      <c r="I24" s="519">
        <f>$E$38/$H$9</f>
        <v>8325</v>
      </c>
      <c r="J24" s="431">
        <f t="shared" si="0"/>
        <v>95284.39419696087</v>
      </c>
      <c r="K24" s="417"/>
      <c r="L24" s="405"/>
      <c r="M24" s="422"/>
      <c r="N24" s="417">
        <f>Daten!I17+3</f>
        <v>58.743204164256795</v>
      </c>
      <c r="O24" s="405">
        <v>3</v>
      </c>
      <c r="P24" s="582">
        <f>Daten!J42</f>
        <v>50618.996089601285</v>
      </c>
      <c r="Q24" s="588">
        <f>Daten!L17</f>
        <v>89.55465587044534</v>
      </c>
      <c r="R24" s="405">
        <f>Daten!M17</f>
        <v>4</v>
      </c>
      <c r="S24" s="566">
        <f>Daten!N42-$K$3</f>
        <v>123495.7788631975</v>
      </c>
      <c r="T24" s="554">
        <f>Daten!$F$86+Daten!$J$86</f>
        <v>19600</v>
      </c>
      <c r="U24" s="588">
        <f t="shared" si="3"/>
        <v>281.4574898785425</v>
      </c>
      <c r="V24" s="588">
        <f t="shared" si="3"/>
        <v>14</v>
      </c>
      <c r="W24" s="455">
        <f>S24+P24+M24+J24</f>
        <v>269399.1691497597</v>
      </c>
      <c r="X24" s="30"/>
    </row>
    <row r="25" spans="1:24" ht="20.25" customHeight="1">
      <c r="A25" s="585" t="s">
        <v>51</v>
      </c>
      <c r="B25" s="568"/>
      <c r="C25" s="576"/>
      <c r="D25" s="576"/>
      <c r="E25" s="417">
        <f>Daten!C18+Daten!O18+Daten!F18-3</f>
        <v>116.61364950838636</v>
      </c>
      <c r="F25" s="405">
        <v>6</v>
      </c>
      <c r="G25" s="44">
        <f>Daten!R43+$H$5</f>
        <v>76631.10272088955</v>
      </c>
      <c r="H25" s="407"/>
      <c r="I25" s="519">
        <f>$E$38/$H$9</f>
        <v>8325</v>
      </c>
      <c r="J25" s="431">
        <f t="shared" si="0"/>
        <v>76631.10272088955</v>
      </c>
      <c r="K25" s="417"/>
      <c r="L25" s="405"/>
      <c r="M25" s="422"/>
      <c r="N25" s="417">
        <f>Daten!I18+3</f>
        <v>51.96934644303066</v>
      </c>
      <c r="O25" s="405">
        <v>3</v>
      </c>
      <c r="P25" s="582">
        <f>Daten!J43</f>
        <v>50618.996089601285</v>
      </c>
      <c r="Q25" s="588">
        <f>Daten!L18</f>
        <v>78.67206477732795</v>
      </c>
      <c r="R25" s="405">
        <f>Daten!M18</f>
        <v>4</v>
      </c>
      <c r="S25" s="566">
        <f>Daten!N43-$K$3</f>
        <v>123495.7788631975</v>
      </c>
      <c r="T25" s="554">
        <f>Daten!$F$86+Daten!$J$86</f>
        <v>19600</v>
      </c>
      <c r="U25" s="588">
        <f t="shared" si="3"/>
        <v>247.25506072874498</v>
      </c>
      <c r="V25" s="588">
        <f t="shared" si="3"/>
        <v>13</v>
      </c>
      <c r="W25" s="455">
        <f>S25+P25+M25+J25</f>
        <v>250745.87767368834</v>
      </c>
      <c r="X25" s="30"/>
    </row>
    <row r="26" spans="1:24" ht="20.25" customHeight="1" thickBot="1">
      <c r="A26" s="586" t="s">
        <v>52</v>
      </c>
      <c r="B26" s="569"/>
      <c r="C26" s="577"/>
      <c r="D26" s="577"/>
      <c r="E26" s="418">
        <f>Daten!C19+Daten!O19+Daten!F19-3</f>
        <v>105.23828802776171</v>
      </c>
      <c r="F26" s="424">
        <v>5</v>
      </c>
      <c r="G26" s="446">
        <f>Daten!R44+$H$5</f>
        <v>76631.10272088955</v>
      </c>
      <c r="H26" s="448"/>
      <c r="I26" s="520">
        <f>$E$38/$H$9</f>
        <v>8325</v>
      </c>
      <c r="J26" s="432">
        <f t="shared" si="0"/>
        <v>76631.10272088955</v>
      </c>
      <c r="K26" s="418"/>
      <c r="L26" s="424"/>
      <c r="M26" s="604"/>
      <c r="N26" s="418">
        <f>Daten!I19+3</f>
        <v>47.31231925968768</v>
      </c>
      <c r="O26" s="424">
        <f>Daten!J19</f>
        <v>2</v>
      </c>
      <c r="P26" s="583">
        <f>Daten!J44</f>
        <v>50618.996089601285</v>
      </c>
      <c r="Q26" s="589">
        <f>Daten!L19</f>
        <v>71.19028340080972</v>
      </c>
      <c r="R26" s="424">
        <f>Daten!M19</f>
        <v>4</v>
      </c>
      <c r="S26" s="570">
        <f>Daten!N44-$K$3</f>
        <v>123495.7788631975</v>
      </c>
      <c r="T26" s="555">
        <f>Daten!$F$86+Daten!$J$86</f>
        <v>19600</v>
      </c>
      <c r="U26" s="589">
        <f t="shared" si="3"/>
        <v>223.74089068825913</v>
      </c>
      <c r="V26" s="589">
        <f t="shared" si="3"/>
        <v>11</v>
      </c>
      <c r="W26" s="456">
        <f>S26+P26+M26+J26</f>
        <v>250745.87767368834</v>
      </c>
      <c r="X26" s="30"/>
    </row>
    <row r="27" spans="1:218" ht="15.75">
      <c r="A27" s="116"/>
      <c r="B27" s="122"/>
      <c r="C27" s="122"/>
      <c r="D27" s="122"/>
      <c r="E27" s="122"/>
      <c r="F27" s="122"/>
      <c r="G27" s="122"/>
      <c r="H27" s="122"/>
      <c r="I27" s="122"/>
      <c r="J27" s="122"/>
      <c r="K27" s="33"/>
      <c r="L27" s="33"/>
      <c r="M27" s="33"/>
      <c r="N27" s="33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33"/>
      <c r="HH27" s="2"/>
      <c r="HI27" s="2"/>
      <c r="HJ27" s="2"/>
    </row>
    <row r="28" spans="2:23" ht="15.75">
      <c r="B28" s="379" t="s">
        <v>144</v>
      </c>
      <c r="C28" s="122"/>
      <c r="D28" s="66"/>
      <c r="E28" s="66"/>
      <c r="F28" s="68"/>
      <c r="K28" s="28"/>
      <c r="L28" s="66"/>
      <c r="S28" s="68"/>
      <c r="T28" s="68"/>
      <c r="U28" s="66"/>
      <c r="V28" s="66"/>
      <c r="W28" s="30"/>
    </row>
    <row r="29" spans="2:23" ht="16.5" thickBot="1">
      <c r="B29" s="66"/>
      <c r="C29" s="163"/>
      <c r="D29" s="380"/>
      <c r="E29" s="380"/>
      <c r="F29" s="68"/>
      <c r="K29" s="378"/>
      <c r="L29" s="66"/>
      <c r="S29" s="68"/>
      <c r="T29" s="68"/>
      <c r="U29" s="66"/>
      <c r="V29" s="66"/>
      <c r="W29" s="30"/>
    </row>
    <row r="30" spans="1:23" ht="19.5" customHeight="1">
      <c r="A30" s="47"/>
      <c r="B30" s="390">
        <v>2</v>
      </c>
      <c r="C30" s="391" t="s">
        <v>25</v>
      </c>
      <c r="D30" s="392"/>
      <c r="E30" s="179">
        <f>B30*Daten!D91</f>
        <v>110</v>
      </c>
      <c r="F30" s="393" t="s">
        <v>27</v>
      </c>
      <c r="G30" s="30"/>
      <c r="H30" s="625"/>
      <c r="I30" s="625"/>
      <c r="J30" s="625"/>
      <c r="K30" s="28"/>
      <c r="L30" s="66"/>
      <c r="S30" s="66"/>
      <c r="T30" s="66"/>
      <c r="U30" s="66"/>
      <c r="V30" s="66"/>
      <c r="W30" s="30"/>
    </row>
    <row r="31" spans="1:23" ht="19.5" customHeight="1">
      <c r="A31" s="47"/>
      <c r="B31" s="53"/>
      <c r="C31" s="274" t="s">
        <v>19</v>
      </c>
      <c r="D31" s="50"/>
      <c r="E31" s="45">
        <f>B31*Daten!D92</f>
        <v>0</v>
      </c>
      <c r="F31" s="55" t="s">
        <v>27</v>
      </c>
      <c r="G31" s="30"/>
      <c r="H31" s="625"/>
      <c r="I31" s="625"/>
      <c r="J31" s="625"/>
      <c r="K31" s="28"/>
      <c r="L31" s="66"/>
      <c r="S31" s="66"/>
      <c r="T31" s="66"/>
      <c r="U31" s="66"/>
      <c r="V31" s="66"/>
      <c r="W31" s="30"/>
    </row>
    <row r="32" spans="1:23" ht="19.5" customHeight="1">
      <c r="A32" s="47"/>
      <c r="B32" s="53"/>
      <c r="C32" s="274" t="s">
        <v>22</v>
      </c>
      <c r="D32" s="50"/>
      <c r="E32" s="45">
        <f>B32*Daten!D93</f>
        <v>0</v>
      </c>
      <c r="F32" s="55" t="s">
        <v>27</v>
      </c>
      <c r="G32" s="30"/>
      <c r="H32" s="625"/>
      <c r="I32" s="625"/>
      <c r="J32" s="625"/>
      <c r="K32" s="28"/>
      <c r="L32" s="66"/>
      <c r="S32" s="66"/>
      <c r="T32" s="66"/>
      <c r="U32" s="66"/>
      <c r="V32" s="66"/>
      <c r="W32" s="30"/>
    </row>
    <row r="33" spans="1:23" ht="19.5" customHeight="1">
      <c r="A33" s="47"/>
      <c r="B33" s="53"/>
      <c r="C33" s="274" t="s">
        <v>39</v>
      </c>
      <c r="D33" s="50"/>
      <c r="E33" s="45">
        <f>B33*Daten!D94</f>
        <v>0</v>
      </c>
      <c r="F33" s="55" t="s">
        <v>27</v>
      </c>
      <c r="G33" s="30"/>
      <c r="H33" s="625"/>
      <c r="I33" s="625"/>
      <c r="J33" s="625"/>
      <c r="K33" s="28"/>
      <c r="L33" s="66"/>
      <c r="S33" s="66"/>
      <c r="T33" s="66"/>
      <c r="U33" s="66"/>
      <c r="V33" s="66"/>
      <c r="W33" s="30"/>
    </row>
    <row r="34" spans="1:23" ht="19.5" customHeight="1">
      <c r="A34" s="47"/>
      <c r="B34" s="394"/>
      <c r="C34" s="274" t="s">
        <v>20</v>
      </c>
      <c r="D34" s="50"/>
      <c r="E34" s="381">
        <f>SUM(E30:E33)*Daten!D95</f>
        <v>27.5</v>
      </c>
      <c r="F34" s="55" t="s">
        <v>27</v>
      </c>
      <c r="G34" s="30"/>
      <c r="H34" s="625"/>
      <c r="I34" s="625"/>
      <c r="J34" s="625"/>
      <c r="K34" s="28"/>
      <c r="L34" s="66"/>
      <c r="S34" s="66"/>
      <c r="T34" s="66"/>
      <c r="U34" s="66"/>
      <c r="V34" s="66"/>
      <c r="W34" s="30"/>
    </row>
    <row r="35" spans="1:23" ht="19.5" customHeight="1">
      <c r="A35" s="47"/>
      <c r="B35" s="53"/>
      <c r="C35" s="274" t="s">
        <v>53</v>
      </c>
      <c r="D35" s="50"/>
      <c r="E35" s="382">
        <f>SUM(E30:E34)</f>
        <v>137.5</v>
      </c>
      <c r="F35" s="55" t="s">
        <v>27</v>
      </c>
      <c r="G35" s="30"/>
      <c r="H35" s="625"/>
      <c r="I35" s="625"/>
      <c r="J35" s="625"/>
      <c r="K35" s="28"/>
      <c r="L35" s="66"/>
      <c r="S35" s="66"/>
      <c r="T35" s="66"/>
      <c r="U35" s="66"/>
      <c r="V35" s="66"/>
      <c r="W35" s="30"/>
    </row>
    <row r="36" spans="1:23" ht="19.5" customHeight="1">
      <c r="A36" s="47"/>
      <c r="B36" s="53"/>
      <c r="C36" s="623" t="s">
        <v>145</v>
      </c>
      <c r="D36" s="50"/>
      <c r="E36" s="383">
        <f>E35*Daten!D96</f>
        <v>316250</v>
      </c>
      <c r="F36" s="624"/>
      <c r="G36" s="30"/>
      <c r="H36" s="625"/>
      <c r="I36" s="625"/>
      <c r="J36" s="625"/>
      <c r="K36" s="28"/>
      <c r="L36" s="66"/>
      <c r="S36" s="273"/>
      <c r="T36" s="273"/>
      <c r="U36" s="66"/>
      <c r="V36" s="66"/>
      <c r="W36" s="30"/>
    </row>
    <row r="37" spans="1:23" ht="19.5" customHeight="1">
      <c r="A37" s="47"/>
      <c r="B37" s="397"/>
      <c r="C37" s="620" t="s">
        <v>190</v>
      </c>
      <c r="D37" s="386"/>
      <c r="E37" s="562">
        <v>100000</v>
      </c>
      <c r="F37" s="152"/>
      <c r="G37" s="30"/>
      <c r="H37" s="625"/>
      <c r="I37" s="625"/>
      <c r="J37" s="625"/>
      <c r="K37" s="28"/>
      <c r="L37" s="66"/>
      <c r="S37" s="68"/>
      <c r="T37" s="68"/>
      <c r="U37" s="66"/>
      <c r="V37" s="66"/>
      <c r="W37" s="30"/>
    </row>
    <row r="38" spans="1:23" ht="19.5" customHeight="1">
      <c r="A38" s="47"/>
      <c r="B38" s="53"/>
      <c r="C38" s="571" t="s">
        <v>53</v>
      </c>
      <c r="D38" s="45"/>
      <c r="E38" s="44">
        <f>E36+E37</f>
        <v>416250</v>
      </c>
      <c r="F38" s="52"/>
      <c r="G38" s="30"/>
      <c r="H38" s="625"/>
      <c r="I38" s="625"/>
      <c r="J38" s="625"/>
      <c r="K38" s="28"/>
      <c r="L38" s="66"/>
      <c r="S38" s="68"/>
      <c r="T38" s="68"/>
      <c r="U38" s="66"/>
      <c r="V38" s="66"/>
      <c r="W38" s="30"/>
    </row>
    <row r="39" spans="1:23" ht="19.5" customHeight="1">
      <c r="A39" s="47"/>
      <c r="B39" s="53"/>
      <c r="C39" s="384" t="s">
        <v>96</v>
      </c>
      <c r="D39" s="45"/>
      <c r="E39" s="383">
        <f>$E$38*Daten!D97</f>
        <v>138736.125</v>
      </c>
      <c r="F39" s="52"/>
      <c r="G39" s="30"/>
      <c r="H39" s="625"/>
      <c r="I39" s="625"/>
      <c r="J39" s="625"/>
      <c r="K39" s="28"/>
      <c r="L39" s="66"/>
      <c r="S39" s="68"/>
      <c r="T39" s="68"/>
      <c r="U39" s="66"/>
      <c r="V39" s="66"/>
      <c r="W39" s="30"/>
    </row>
    <row r="40" spans="1:23" ht="19.5" customHeight="1">
      <c r="A40" s="47"/>
      <c r="B40" s="53"/>
      <c r="C40" s="274" t="s">
        <v>15</v>
      </c>
      <c r="D40" s="45"/>
      <c r="E40" s="44">
        <f>E38-E39</f>
        <v>277513.875</v>
      </c>
      <c r="F40" s="52"/>
      <c r="G40" s="30"/>
      <c r="H40" s="625"/>
      <c r="I40" s="625"/>
      <c r="J40" s="625"/>
      <c r="K40" s="28"/>
      <c r="L40" s="66"/>
      <c r="S40" s="68"/>
      <c r="T40" s="68"/>
      <c r="U40" s="66"/>
      <c r="V40" s="66"/>
      <c r="W40" s="30"/>
    </row>
    <row r="41" spans="1:23" ht="19.5" customHeight="1" thickBot="1">
      <c r="A41" s="48"/>
      <c r="B41" s="399"/>
      <c r="C41" s="400" t="s">
        <v>71</v>
      </c>
      <c r="D41" s="401"/>
      <c r="E41" s="402">
        <f>(((Daten!$D$100*(1+Daten!$D$100)^Daten!$D$99)/((1+Daten!$D$100)^Daten!$D$99-1))*'K + R_Auf + GL'!$E$40)</f>
        <v>18653.291476071325</v>
      </c>
      <c r="F41" s="622"/>
      <c r="G41" s="30"/>
      <c r="H41" s="625"/>
      <c r="I41" s="625"/>
      <c r="J41" s="625"/>
      <c r="K41" s="28"/>
      <c r="L41" s="66"/>
      <c r="S41" s="68"/>
      <c r="T41" s="68"/>
      <c r="U41" s="66"/>
      <c r="V41" s="66"/>
      <c r="W41" s="30"/>
    </row>
    <row r="42" spans="1:23" ht="19.5" customHeight="1">
      <c r="A42" s="122"/>
      <c r="B42" s="621"/>
      <c r="C42" s="66"/>
      <c r="D42" s="66"/>
      <c r="E42" s="607"/>
      <c r="F42" s="619"/>
      <c r="G42" s="30"/>
      <c r="H42" s="625"/>
      <c r="I42" s="625"/>
      <c r="J42" s="625"/>
      <c r="K42" s="28"/>
      <c r="L42" s="66"/>
      <c r="S42" s="68"/>
      <c r="T42" s="68"/>
      <c r="U42" s="66"/>
      <c r="V42" s="66"/>
      <c r="W42" s="30"/>
    </row>
    <row r="43" spans="1:23" ht="15.75">
      <c r="A43" s="122"/>
      <c r="B43" s="66"/>
      <c r="C43" s="66"/>
      <c r="D43" s="66"/>
      <c r="E43" s="66"/>
      <c r="F43" s="68"/>
      <c r="G43" s="30"/>
      <c r="H43" s="625"/>
      <c r="I43" s="625"/>
      <c r="J43" s="625"/>
      <c r="K43" s="378"/>
      <c r="L43" s="68"/>
      <c r="M43" s="272"/>
      <c r="N43" s="66"/>
      <c r="O43" s="68"/>
      <c r="P43" s="68"/>
      <c r="Q43" s="68"/>
      <c r="R43" s="68"/>
      <c r="S43" s="68"/>
      <c r="T43" s="68"/>
      <c r="U43" s="66"/>
      <c r="V43" s="68"/>
      <c r="W43" s="31"/>
    </row>
    <row r="44" spans="1:10" ht="15.75">
      <c r="A44" s="122"/>
      <c r="B44" s="66"/>
      <c r="C44" s="66"/>
      <c r="D44" s="66"/>
      <c r="E44" s="66"/>
      <c r="F44" s="66"/>
      <c r="G44" s="30"/>
      <c r="H44" s="30"/>
      <c r="I44" s="30"/>
      <c r="J44" s="30"/>
    </row>
  </sheetData>
  <mergeCells count="2">
    <mergeCell ref="B17:D17"/>
    <mergeCell ref="K21:M21"/>
  </mergeCells>
  <printOptions/>
  <pageMargins left="0.24" right="0.22" top="0.45" bottom="1" header="0.4921259845" footer="0.4921259845"/>
  <pageSetup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43"/>
  <sheetViews>
    <sheetView workbookViewId="0" topLeftCell="B4">
      <selection activeCell="L23" sqref="L23"/>
    </sheetView>
  </sheetViews>
  <sheetFormatPr defaultColWidth="11.421875" defaultRowHeight="12.75"/>
  <cols>
    <col min="1" max="1" width="23.8515625" style="1" customWidth="1"/>
    <col min="2" max="2" width="8.7109375" style="2" customWidth="1"/>
    <col min="3" max="3" width="9.28125" style="2" customWidth="1"/>
    <col min="4" max="4" width="12.8515625" style="2" customWidth="1"/>
    <col min="5" max="5" width="13.7109375" style="2" customWidth="1"/>
    <col min="6" max="9" width="14.28125" style="2" customWidth="1"/>
    <col min="10" max="10" width="11.8515625" style="2" customWidth="1"/>
    <col min="11" max="11" width="10.57421875" style="2" customWidth="1"/>
    <col min="12" max="12" width="9.8515625" style="2" customWidth="1"/>
    <col min="13" max="13" width="11.8515625" style="2" customWidth="1"/>
    <col min="14" max="14" width="11.7109375" style="2" customWidth="1"/>
    <col min="15" max="15" width="10.28125" style="2" customWidth="1"/>
    <col min="16" max="16" width="11.8515625" style="2" customWidth="1"/>
    <col min="17" max="17" width="12.421875" style="2" customWidth="1"/>
    <col min="18" max="18" width="15.57421875" style="2" customWidth="1"/>
    <col min="19" max="19" width="14.00390625" style="2" customWidth="1"/>
    <col min="20" max="20" width="12.421875" style="2" customWidth="1"/>
    <col min="21" max="21" width="16.7109375" style="2" customWidth="1"/>
    <col min="22" max="22" width="10.140625" style="2" customWidth="1"/>
    <col min="23" max="23" width="15.28125" style="2" customWidth="1"/>
    <col min="24" max="215" width="11.421875" style="2" customWidth="1"/>
  </cols>
  <sheetData>
    <row r="1" spans="1:2" ht="18">
      <c r="A1" s="4"/>
      <c r="B1" s="373" t="s">
        <v>129</v>
      </c>
    </row>
    <row r="2" spans="1:2" ht="18">
      <c r="A2" s="4"/>
      <c r="B2" s="374" t="s">
        <v>158</v>
      </c>
    </row>
    <row r="3" spans="1:12" ht="18">
      <c r="A3" s="4"/>
      <c r="B3" s="374" t="s">
        <v>186</v>
      </c>
      <c r="K3" s="478"/>
      <c r="L3" s="479"/>
    </row>
    <row r="4" spans="1:12" ht="18">
      <c r="A4" s="4"/>
      <c r="B4" s="374" t="s">
        <v>184</v>
      </c>
      <c r="K4" s="458"/>
      <c r="L4" s="458"/>
    </row>
    <row r="5" spans="1:12" ht="18">
      <c r="A5" s="693"/>
      <c r="B5" s="374" t="s">
        <v>193</v>
      </c>
      <c r="K5" s="573"/>
      <c r="L5" s="574"/>
    </row>
    <row r="6" spans="1:24" ht="15.75">
      <c r="A6" s="122"/>
      <c r="B6" s="692" t="s">
        <v>194</v>
      </c>
      <c r="X6" s="66"/>
    </row>
    <row r="7" spans="1:2" ht="18">
      <c r="A7" s="694"/>
      <c r="B7" s="374" t="s">
        <v>191</v>
      </c>
    </row>
    <row r="8" spans="1:2" ht="18">
      <c r="A8" s="4"/>
      <c r="B8" s="374" t="s">
        <v>121</v>
      </c>
    </row>
    <row r="9" spans="2:24" ht="15.75">
      <c r="B9" s="374" t="s">
        <v>115</v>
      </c>
      <c r="H9" s="518">
        <v>50</v>
      </c>
      <c r="I9" s="479" t="s">
        <v>64</v>
      </c>
      <c r="X9" s="25"/>
    </row>
    <row r="10" spans="2:218" ht="16.5" thickBot="1">
      <c r="B10" s="39"/>
      <c r="C10" s="39"/>
      <c r="D10" s="39"/>
      <c r="E10" s="39"/>
      <c r="F10" s="39"/>
      <c r="G10" s="39"/>
      <c r="H10" s="48"/>
      <c r="I10" s="48"/>
      <c r="J10" s="48"/>
      <c r="K10" s="412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66"/>
      <c r="AB10" s="30"/>
      <c r="HH10" s="2"/>
      <c r="HI10" s="2"/>
      <c r="HJ10" s="2"/>
    </row>
    <row r="11" spans="1:215" ht="15.75">
      <c r="A11" s="47"/>
      <c r="B11" s="578" t="s">
        <v>133</v>
      </c>
      <c r="C11" s="125"/>
      <c r="D11" s="579"/>
      <c r="E11" s="578" t="s">
        <v>134</v>
      </c>
      <c r="F11" s="125"/>
      <c r="G11" s="125"/>
      <c r="H11" s="126"/>
      <c r="I11" s="449" t="s">
        <v>132</v>
      </c>
      <c r="J11" s="435"/>
      <c r="K11" s="436"/>
      <c r="L11" s="600" t="s">
        <v>136</v>
      </c>
      <c r="M11" s="594"/>
      <c r="N11" s="601"/>
      <c r="O11" s="414" t="s">
        <v>38</v>
      </c>
      <c r="P11" s="414"/>
      <c r="Q11" s="414"/>
      <c r="R11" s="550" t="s">
        <v>98</v>
      </c>
      <c r="S11" s="449" t="s">
        <v>16</v>
      </c>
      <c r="T11" s="435"/>
      <c r="U11" s="436"/>
      <c r="V11" s="26"/>
      <c r="HF11"/>
      <c r="HG11"/>
    </row>
    <row r="12" spans="1:215" ht="15.75">
      <c r="A12" s="47"/>
      <c r="B12" s="127"/>
      <c r="C12" s="122"/>
      <c r="D12" s="122"/>
      <c r="E12" s="626"/>
      <c r="F12" s="122"/>
      <c r="G12" s="122"/>
      <c r="H12" s="580"/>
      <c r="I12" s="437"/>
      <c r="J12" s="593"/>
      <c r="K12" s="128"/>
      <c r="L12" s="602"/>
      <c r="M12" s="141"/>
      <c r="N12" s="41"/>
      <c r="O12" s="596"/>
      <c r="P12" s="408"/>
      <c r="Q12" s="409"/>
      <c r="R12" s="551" t="s">
        <v>99</v>
      </c>
      <c r="S12" s="437"/>
      <c r="T12" s="25"/>
      <c r="U12" s="450"/>
      <c r="HF12"/>
      <c r="HG12"/>
    </row>
    <row r="13" spans="1:215" ht="48" thickBot="1">
      <c r="A13" s="115"/>
      <c r="B13" s="416" t="s">
        <v>3</v>
      </c>
      <c r="C13" s="410" t="s">
        <v>14</v>
      </c>
      <c r="D13" s="425" t="s">
        <v>40</v>
      </c>
      <c r="E13" s="416" t="s">
        <v>3</v>
      </c>
      <c r="F13" s="410" t="s">
        <v>14</v>
      </c>
      <c r="G13" s="404" t="s">
        <v>40</v>
      </c>
      <c r="H13" s="430" t="s">
        <v>116</v>
      </c>
      <c r="I13" s="54" t="s">
        <v>3</v>
      </c>
      <c r="J13" s="46" t="s">
        <v>14</v>
      </c>
      <c r="K13" s="603" t="s">
        <v>40</v>
      </c>
      <c r="L13" s="595" t="s">
        <v>3</v>
      </c>
      <c r="M13" s="46" t="s">
        <v>14</v>
      </c>
      <c r="N13" s="581" t="s">
        <v>40</v>
      </c>
      <c r="O13" s="597" t="s">
        <v>3</v>
      </c>
      <c r="P13" s="410" t="s">
        <v>14</v>
      </c>
      <c r="Q13" s="425" t="s">
        <v>40</v>
      </c>
      <c r="R13" s="552"/>
      <c r="S13" s="54" t="s">
        <v>3</v>
      </c>
      <c r="T13" s="46" t="s">
        <v>14</v>
      </c>
      <c r="U13" s="521" t="s">
        <v>120</v>
      </c>
      <c r="HF13"/>
      <c r="HG13"/>
    </row>
    <row r="14" spans="1:215" ht="20.25" customHeight="1">
      <c r="A14" s="120" t="s">
        <v>43</v>
      </c>
      <c r="B14" s="690">
        <f>Daten!C8</f>
        <v>61</v>
      </c>
      <c r="C14" s="411">
        <f>Daten!D8</f>
        <v>4</v>
      </c>
      <c r="D14" s="426">
        <f>Daten!B33</f>
        <v>16722.7129</v>
      </c>
      <c r="E14" s="417">
        <f>Daten!O8</f>
        <v>67</v>
      </c>
      <c r="F14" s="411">
        <f>Daten!P8</f>
        <v>4</v>
      </c>
      <c r="G14" s="44">
        <f>Daten!R33</f>
        <v>46841.1465</v>
      </c>
      <c r="H14" s="431">
        <f>G14</f>
        <v>46841.1465</v>
      </c>
      <c r="I14" s="54">
        <f>Daten!F8</f>
        <v>106</v>
      </c>
      <c r="J14" s="46">
        <f>Daten!G8</f>
        <v>6</v>
      </c>
      <c r="K14" s="422">
        <f>Daten!F33</f>
        <v>31083.53695</v>
      </c>
      <c r="L14" s="54">
        <f>Daten!I8</f>
        <v>104</v>
      </c>
      <c r="M14" s="54">
        <f>Daten!J8</f>
        <v>5</v>
      </c>
      <c r="N14" s="582">
        <f>Daten!J33</f>
        <v>35757.511</v>
      </c>
      <c r="O14" s="598">
        <f>Daten!L8</f>
        <v>141</v>
      </c>
      <c r="P14" s="411">
        <f>Daten!M8</f>
        <v>6</v>
      </c>
      <c r="Q14" s="426">
        <f>Daten!N33</f>
        <v>75102.2875</v>
      </c>
      <c r="R14" s="553"/>
      <c r="S14" s="451"/>
      <c r="T14" s="406"/>
      <c r="U14" s="452"/>
      <c r="HF14"/>
      <c r="HG14"/>
    </row>
    <row r="15" spans="1:215" ht="20.25" customHeight="1">
      <c r="A15" s="121" t="s">
        <v>44</v>
      </c>
      <c r="B15" s="690">
        <f>Daten!C9</f>
        <v>59</v>
      </c>
      <c r="C15" s="411">
        <f>Daten!D9</f>
        <v>4</v>
      </c>
      <c r="D15" s="426">
        <f>Daten!B34</f>
        <v>17029.7022385</v>
      </c>
      <c r="E15" s="417">
        <f>Daten!O9</f>
        <v>67</v>
      </c>
      <c r="F15" s="411">
        <f>Daten!P9</f>
        <v>4</v>
      </c>
      <c r="G15" s="44">
        <f>Daten!R34</f>
        <v>47426.5200225</v>
      </c>
      <c r="H15" s="431">
        <f aca="true" t="shared" si="0" ref="H15:H25">G15</f>
        <v>47426.5200225</v>
      </c>
      <c r="I15" s="54">
        <f>Daten!F9</f>
        <v>102</v>
      </c>
      <c r="J15" s="46">
        <f>Daten!G9</f>
        <v>5</v>
      </c>
      <c r="K15" s="422">
        <f>Daten!F34</f>
        <v>31486.220851749997</v>
      </c>
      <c r="L15" s="54">
        <f>Daten!I9</f>
        <v>93</v>
      </c>
      <c r="M15" s="54">
        <f>Daten!J9</f>
        <v>5</v>
      </c>
      <c r="N15" s="582">
        <f>Daten!J34</f>
        <v>36108.440214999995</v>
      </c>
      <c r="O15" s="598">
        <f>Daten!L9</f>
        <v>136</v>
      </c>
      <c r="P15" s="411">
        <f>Daten!M9</f>
        <v>7</v>
      </c>
      <c r="Q15" s="426">
        <f>Daten!N34</f>
        <v>76245.0191875</v>
      </c>
      <c r="R15" s="553"/>
      <c r="S15" s="453"/>
      <c r="T15" s="406"/>
      <c r="U15" s="454"/>
      <c r="HF15"/>
      <c r="HG15"/>
    </row>
    <row r="16" spans="1:215" ht="20.25" customHeight="1">
      <c r="A16" s="121" t="s">
        <v>45</v>
      </c>
      <c r="B16" s="690">
        <f>Daten!C10</f>
        <v>61</v>
      </c>
      <c r="C16" s="411">
        <f>Daten!D10</f>
        <v>4</v>
      </c>
      <c r="D16" s="426">
        <f>Daten!B35</f>
        <v>17356.645884002497</v>
      </c>
      <c r="E16" s="417">
        <f>Daten!O10</f>
        <v>65</v>
      </c>
      <c r="F16" s="411">
        <f>Daten!P10</f>
        <v>4</v>
      </c>
      <c r="G16" s="44">
        <f>Daten!R35</f>
        <v>48049.9428239625</v>
      </c>
      <c r="H16" s="431">
        <f t="shared" si="0"/>
        <v>48049.9428239625</v>
      </c>
      <c r="I16" s="54">
        <f>Daten!F10</f>
        <v>97</v>
      </c>
      <c r="J16" s="46">
        <f>Daten!G10</f>
        <v>5</v>
      </c>
      <c r="K16" s="422">
        <f>Daten!F35</f>
        <v>31915.079207113744</v>
      </c>
      <c r="L16" s="54">
        <f>Daten!I10</f>
        <v>76</v>
      </c>
      <c r="M16" s="54">
        <f>Daten!J10</f>
        <v>4</v>
      </c>
      <c r="N16" s="582">
        <f>Daten!J35</f>
        <v>36482.17982897499</v>
      </c>
      <c r="O16" s="598">
        <f>Daten!L10</f>
        <v>124</v>
      </c>
      <c r="P16" s="411">
        <f>Daten!M10</f>
        <v>7</v>
      </c>
      <c r="Q16" s="426">
        <f>Daten!N35-$K$3</f>
        <v>77462.0284346875</v>
      </c>
      <c r="R16" s="554">
        <f>Daten!$F$86</f>
        <v>8500</v>
      </c>
      <c r="S16" s="421">
        <f>L16+I16+O16+E16+B16</f>
        <v>423</v>
      </c>
      <c r="T16" s="588">
        <f>M16+J16+P16+F16+C16</f>
        <v>24</v>
      </c>
      <c r="U16" s="455">
        <f>Q16+N16+K16+H16+D16</f>
        <v>211265.87617874122</v>
      </c>
      <c r="HF16"/>
      <c r="HG16"/>
    </row>
    <row r="17" spans="1:215" ht="20.25" customHeight="1">
      <c r="A17" s="121" t="s">
        <v>46</v>
      </c>
      <c r="B17" s="690">
        <f>Daten!C11</f>
        <v>52</v>
      </c>
      <c r="C17" s="411">
        <f>Daten!D11</f>
        <v>3</v>
      </c>
      <c r="D17" s="426">
        <f>Daten!B36</f>
        <v>17704.840866462662</v>
      </c>
      <c r="E17" s="417">
        <f>Daten!O11</f>
        <v>57</v>
      </c>
      <c r="F17" s="411">
        <f>Daten!P11</f>
        <v>3</v>
      </c>
      <c r="G17" s="44">
        <f>Daten!R36</f>
        <v>48713.88810752006</v>
      </c>
      <c r="H17" s="431">
        <f t="shared" si="0"/>
        <v>48713.88810752006</v>
      </c>
      <c r="I17" s="54">
        <f>Daten!F11</f>
        <v>86</v>
      </c>
      <c r="J17" s="46">
        <f>Daten!G11</f>
        <v>4</v>
      </c>
      <c r="K17" s="422">
        <f>Daten!F36</f>
        <v>32371.813355576134</v>
      </c>
      <c r="L17" s="54">
        <f>Daten!I11</f>
        <v>75</v>
      </c>
      <c r="M17" s="54">
        <f>Daten!J11</f>
        <v>4</v>
      </c>
      <c r="N17" s="582">
        <f>Daten!J36</f>
        <v>36880.21251785837</v>
      </c>
      <c r="O17" s="598">
        <f>Daten!L11</f>
        <v>110</v>
      </c>
      <c r="P17" s="411">
        <f>Daten!M11</f>
        <v>6</v>
      </c>
      <c r="Q17" s="426">
        <f>Daten!N36-$K$3</f>
        <v>78758.14328294218</v>
      </c>
      <c r="R17" s="554">
        <f>Daten!$F$86</f>
        <v>8500</v>
      </c>
      <c r="S17" s="421">
        <f>L17+I17+O17+E17+B17</f>
        <v>380</v>
      </c>
      <c r="T17" s="588">
        <f>M17+J17+P17+F17+C17</f>
        <v>20</v>
      </c>
      <c r="U17" s="455">
        <f>Q17+N17+K17+H17+D17</f>
        <v>214428.89813035942</v>
      </c>
      <c r="HF17"/>
      <c r="HG17"/>
    </row>
    <row r="18" spans="1:215" ht="20.25" customHeight="1">
      <c r="A18" s="121" t="s">
        <v>47</v>
      </c>
      <c r="B18" s="765" t="s">
        <v>135</v>
      </c>
      <c r="C18" s="766"/>
      <c r="D18" s="766"/>
      <c r="E18" s="417">
        <f>Daten!C12+Daten!O12</f>
        <v>102</v>
      </c>
      <c r="F18" s="411">
        <v>5</v>
      </c>
      <c r="G18" s="44">
        <f>Daten!R37</f>
        <v>49420.989834508866</v>
      </c>
      <c r="H18" s="431">
        <f t="shared" si="0"/>
        <v>49420.989834508866</v>
      </c>
      <c r="I18" s="54">
        <f>Daten!F12</f>
        <v>76</v>
      </c>
      <c r="J18" s="46">
        <f>Daten!G12</f>
        <v>4</v>
      </c>
      <c r="K18" s="422">
        <f>Daten!F37</f>
        <v>32858.23522368858</v>
      </c>
      <c r="L18" s="54">
        <f>Daten!I12</f>
        <v>70</v>
      </c>
      <c r="M18" s="54">
        <f>Daten!J12</f>
        <v>4</v>
      </c>
      <c r="N18" s="582">
        <f>Daten!J37</f>
        <v>37304.117331519155</v>
      </c>
      <c r="O18" s="598">
        <f>Daten!L12</f>
        <v>113</v>
      </c>
      <c r="P18" s="411">
        <f>Daten!M12</f>
        <v>6</v>
      </c>
      <c r="Q18" s="426">
        <f>Daten!N37-$K$3</f>
        <v>80138.50559633343</v>
      </c>
      <c r="R18" s="554">
        <f>Daten!$F$86+Daten!$J$86</f>
        <v>19600</v>
      </c>
      <c r="S18" s="421">
        <f>L18+O18+E18+I18</f>
        <v>361</v>
      </c>
      <c r="T18" s="588">
        <f>M18+P18+F18+J18</f>
        <v>19</v>
      </c>
      <c r="U18" s="455">
        <f>Q18+N18+K18+H18+D18</f>
        <v>199721.84798605</v>
      </c>
      <c r="HF18"/>
      <c r="HG18"/>
    </row>
    <row r="19" spans="1:213" s="70" customFormat="1" ht="20.25" customHeight="1">
      <c r="A19" s="121" t="s">
        <v>48</v>
      </c>
      <c r="B19" s="690"/>
      <c r="C19" s="411"/>
      <c r="D19" s="426"/>
      <c r="E19" s="417">
        <f>Daten!C13+Daten!O13</f>
        <v>90</v>
      </c>
      <c r="F19" s="411">
        <v>4</v>
      </c>
      <c r="G19" s="44">
        <f>Daten!R38</f>
        <v>50174.05317375194</v>
      </c>
      <c r="H19" s="431">
        <f t="shared" si="0"/>
        <v>50174.05317375194</v>
      </c>
      <c r="I19" s="54">
        <f>Daten!F13</f>
        <v>70</v>
      </c>
      <c r="J19" s="46">
        <f>Daten!G13</f>
        <v>4</v>
      </c>
      <c r="K19" s="422">
        <f>Daten!F38</f>
        <v>33376.27451322834</v>
      </c>
      <c r="L19" s="54">
        <f>Daten!I13</f>
        <v>67</v>
      </c>
      <c r="M19" s="54">
        <f>Daten!J13</f>
        <v>4</v>
      </c>
      <c r="N19" s="582">
        <f>Daten!J38</f>
        <v>37755.5759580679</v>
      </c>
      <c r="O19" s="598">
        <f>Daten!L13</f>
        <v>102</v>
      </c>
      <c r="P19" s="411">
        <f>Daten!M13</f>
        <v>5</v>
      </c>
      <c r="Q19" s="426">
        <f>Daten!N38-$K$3</f>
        <v>81608.59146009511</v>
      </c>
      <c r="R19" s="554">
        <f>Daten!$F$86+Daten!$J$86</f>
        <v>19600</v>
      </c>
      <c r="S19" s="421">
        <f>L19+O19+E19+I19</f>
        <v>329</v>
      </c>
      <c r="T19" s="588">
        <f>M19+P19+F19+J19</f>
        <v>17</v>
      </c>
      <c r="U19" s="455">
        <f>Q19+N19+K19+H19+D19</f>
        <v>202914.4951051433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</row>
    <row r="20" spans="1:213" s="70" customFormat="1" ht="20.25" customHeight="1" thickBot="1">
      <c r="A20" s="641" t="s">
        <v>147</v>
      </c>
      <c r="B20" s="691"/>
      <c r="C20" s="419"/>
      <c r="D20" s="427"/>
      <c r="E20" s="418">
        <f>Daten!C14+Daten!O14+Daten!F14-43</f>
        <v>106</v>
      </c>
      <c r="F20" s="419">
        <v>5</v>
      </c>
      <c r="G20" s="446">
        <f>Daten!R39</f>
        <v>50976.065630045814</v>
      </c>
      <c r="H20" s="432">
        <f t="shared" si="0"/>
        <v>50976.065630045814</v>
      </c>
      <c r="I20" s="770" t="s">
        <v>154</v>
      </c>
      <c r="J20" s="771"/>
      <c r="K20" s="772"/>
      <c r="L20" s="182">
        <f>Daten!I14+43</f>
        <v>104</v>
      </c>
      <c r="M20" s="182">
        <v>5</v>
      </c>
      <c r="N20" s="583">
        <f>Daten!J39</f>
        <v>38236.379395342316</v>
      </c>
      <c r="O20" s="599">
        <f>Daten!L14</f>
        <v>98</v>
      </c>
      <c r="P20" s="419">
        <f>Daten!M14</f>
        <v>4</v>
      </c>
      <c r="Q20" s="427">
        <f>Daten!N39-$K$3</f>
        <v>83174.23290500129</v>
      </c>
      <c r="R20" s="555">
        <f>Daten!$F$86+Daten!$J$86</f>
        <v>19600</v>
      </c>
      <c r="S20" s="423">
        <f>L20+O20+E20</f>
        <v>308</v>
      </c>
      <c r="T20" s="589">
        <f>M20+P20+F20</f>
        <v>14</v>
      </c>
      <c r="U20" s="456">
        <f>Q20+N20+K20+H20+D20</f>
        <v>172386.6779303894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</row>
    <row r="21" spans="1:213" s="69" customFormat="1" ht="20.25" customHeight="1" thickBot="1">
      <c r="A21" s="122" t="s">
        <v>7</v>
      </c>
      <c r="B21" s="122"/>
      <c r="C21" s="122"/>
      <c r="D21" s="122"/>
      <c r="E21" s="606"/>
      <c r="F21" s="122"/>
      <c r="G21" s="689"/>
      <c r="H21" s="559"/>
      <c r="I21" s="68"/>
      <c r="J21" s="68"/>
      <c r="K21" s="607"/>
      <c r="L21" s="68"/>
      <c r="M21" s="68"/>
      <c r="N21" s="592"/>
      <c r="O21" s="608"/>
      <c r="P21" s="608"/>
      <c r="Q21" s="592"/>
      <c r="R21" s="628"/>
      <c r="S21" s="608"/>
      <c r="T21" s="608"/>
      <c r="U21" s="609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</row>
    <row r="22" spans="1:213" s="72" customFormat="1" ht="20.25" customHeight="1">
      <c r="A22" s="584" t="s">
        <v>49</v>
      </c>
      <c r="B22" s="83"/>
      <c r="C22" s="575"/>
      <c r="D22" s="285"/>
      <c r="E22" s="662">
        <f>Daten!C16+Daten!O16+Daten!F16-43</f>
        <v>98.67495662232503</v>
      </c>
      <c r="F22" s="420">
        <v>7</v>
      </c>
      <c r="G22" s="447">
        <f>Daten!R41</f>
        <v>55839.250728129846</v>
      </c>
      <c r="H22" s="627">
        <f t="shared" si="0"/>
        <v>55839.250728129846</v>
      </c>
      <c r="I22" s="590"/>
      <c r="J22" s="420"/>
      <c r="K22" s="610"/>
      <c r="L22" s="587">
        <f>Daten!I16+43</f>
        <v>101.00115673799885</v>
      </c>
      <c r="M22" s="420">
        <v>4</v>
      </c>
      <c r="N22" s="591">
        <f>Daten!J41</f>
        <v>41151.84048688891</v>
      </c>
      <c r="O22" s="587">
        <f>Daten!L16</f>
        <v>93.18218623481782</v>
      </c>
      <c r="P22" s="420">
        <f>Daten!M16</f>
        <v>4</v>
      </c>
      <c r="Q22" s="567">
        <f>Daten!N41-$K$3</f>
        <v>92667.8562073064</v>
      </c>
      <c r="R22" s="630">
        <f>Daten!$F$86+Daten!$J$86</f>
        <v>19600</v>
      </c>
      <c r="S22" s="662">
        <f aca="true" t="shared" si="1" ref="S22:T25">L22+O22+E22</f>
        <v>292.8582995951417</v>
      </c>
      <c r="T22" s="587">
        <f t="shared" si="1"/>
        <v>15</v>
      </c>
      <c r="U22" s="457">
        <f>Q22+N22+K22+H22+D22</f>
        <v>189658.94742232515</v>
      </c>
      <c r="V22" s="60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1:215" ht="20.25" customHeight="1">
      <c r="A23" s="585" t="s">
        <v>50</v>
      </c>
      <c r="B23" s="568"/>
      <c r="C23" s="576"/>
      <c r="D23" s="275"/>
      <c r="E23" s="421">
        <f>Daten!C17+Daten!O17+Daten!F17-43</f>
        <v>93.15962984384038</v>
      </c>
      <c r="F23" s="405">
        <v>7</v>
      </c>
      <c r="G23" s="44">
        <f>Daten!R42</f>
        <v>71631.10272088955</v>
      </c>
      <c r="H23" s="431">
        <f t="shared" si="0"/>
        <v>71631.10272088955</v>
      </c>
      <c r="I23" s="417"/>
      <c r="J23" s="405"/>
      <c r="K23" s="422"/>
      <c r="L23" s="588">
        <f>Daten!I17+43</f>
        <v>98.7432041642568</v>
      </c>
      <c r="M23" s="405">
        <v>4</v>
      </c>
      <c r="N23" s="582">
        <f>Daten!J42</f>
        <v>50618.996089601285</v>
      </c>
      <c r="O23" s="588">
        <f>Daten!L17</f>
        <v>89.55465587044534</v>
      </c>
      <c r="P23" s="405">
        <f>Daten!M17</f>
        <v>4</v>
      </c>
      <c r="Q23" s="566">
        <f>Daten!N42-$K$3</f>
        <v>123495.7788631975</v>
      </c>
      <c r="R23" s="554">
        <f>Daten!$F$86+Daten!$J$86</f>
        <v>19600</v>
      </c>
      <c r="S23" s="421">
        <f t="shared" si="1"/>
        <v>281.4574898785425</v>
      </c>
      <c r="T23" s="588">
        <f t="shared" si="1"/>
        <v>15</v>
      </c>
      <c r="U23" s="455">
        <f>Q23+N23+K23+H23+D23</f>
        <v>245745.87767368834</v>
      </c>
      <c r="V23" s="30"/>
      <c r="HF23"/>
      <c r="HG23"/>
    </row>
    <row r="24" spans="1:215" ht="20.25" customHeight="1">
      <c r="A24" s="585" t="s">
        <v>51</v>
      </c>
      <c r="B24" s="568"/>
      <c r="C24" s="576"/>
      <c r="D24" s="275"/>
      <c r="E24" s="421">
        <f>Daten!C18+Daten!O18+Daten!F18-43</f>
        <v>76.61364950838636</v>
      </c>
      <c r="F24" s="405">
        <v>6</v>
      </c>
      <c r="G24" s="44">
        <f>Daten!R43</f>
        <v>71631.10272088955</v>
      </c>
      <c r="H24" s="431">
        <f t="shared" si="0"/>
        <v>71631.10272088955</v>
      </c>
      <c r="I24" s="417"/>
      <c r="J24" s="405"/>
      <c r="K24" s="422"/>
      <c r="L24" s="588">
        <f>Daten!I18+43</f>
        <v>91.96934644303066</v>
      </c>
      <c r="M24" s="405">
        <v>4</v>
      </c>
      <c r="N24" s="582">
        <f>Daten!J43</f>
        <v>50618.996089601285</v>
      </c>
      <c r="O24" s="588">
        <f>Daten!L18</f>
        <v>78.67206477732795</v>
      </c>
      <c r="P24" s="405">
        <f>Daten!M18</f>
        <v>4</v>
      </c>
      <c r="Q24" s="566">
        <f>Daten!N43-$K$3</f>
        <v>123495.7788631975</v>
      </c>
      <c r="R24" s="554">
        <f>Daten!$F$86+Daten!$J$86</f>
        <v>19600</v>
      </c>
      <c r="S24" s="421">
        <f t="shared" si="1"/>
        <v>247.25506072874498</v>
      </c>
      <c r="T24" s="588">
        <f t="shared" si="1"/>
        <v>14</v>
      </c>
      <c r="U24" s="455">
        <f>Q24+N24+K24+H24+D24</f>
        <v>245745.87767368834</v>
      </c>
      <c r="V24" s="30"/>
      <c r="HF24"/>
      <c r="HG24"/>
    </row>
    <row r="25" spans="1:215" ht="20.25" customHeight="1" thickBot="1">
      <c r="A25" s="586" t="s">
        <v>52</v>
      </c>
      <c r="B25" s="569"/>
      <c r="C25" s="577"/>
      <c r="D25" s="294"/>
      <c r="E25" s="423">
        <f>Daten!C19+Daten!O19+Daten!F19-43</f>
        <v>65.23828802776171</v>
      </c>
      <c r="F25" s="424">
        <v>5</v>
      </c>
      <c r="G25" s="446">
        <f>Daten!R44</f>
        <v>71631.10272088955</v>
      </c>
      <c r="H25" s="432">
        <f t="shared" si="0"/>
        <v>71631.10272088955</v>
      </c>
      <c r="I25" s="418"/>
      <c r="J25" s="424"/>
      <c r="K25" s="604"/>
      <c r="L25" s="589">
        <f>Daten!I19+43</f>
        <v>87.31231925968768</v>
      </c>
      <c r="M25" s="424">
        <f>Daten!J19</f>
        <v>2</v>
      </c>
      <c r="N25" s="583">
        <f>Daten!J44</f>
        <v>50618.996089601285</v>
      </c>
      <c r="O25" s="589">
        <f>Daten!L19</f>
        <v>71.19028340080972</v>
      </c>
      <c r="P25" s="424">
        <f>Daten!M19</f>
        <v>4</v>
      </c>
      <c r="Q25" s="570">
        <f>Daten!N44-$K$3</f>
        <v>123495.7788631975</v>
      </c>
      <c r="R25" s="555">
        <f>Daten!$F$86+Daten!$J$86</f>
        <v>19600</v>
      </c>
      <c r="S25" s="423">
        <f t="shared" si="1"/>
        <v>223.74089068825913</v>
      </c>
      <c r="T25" s="589">
        <f t="shared" si="1"/>
        <v>11</v>
      </c>
      <c r="U25" s="456">
        <f>Q25+N25+K25+H25+D25</f>
        <v>245745.87767368834</v>
      </c>
      <c r="V25" s="30"/>
      <c r="HF25"/>
      <c r="HG25"/>
    </row>
    <row r="26" spans="1:218" ht="15.75">
      <c r="A26" s="116"/>
      <c r="B26" s="122"/>
      <c r="C26" s="122"/>
      <c r="D26" s="122"/>
      <c r="E26" s="122"/>
      <c r="F26" s="122"/>
      <c r="G26" s="122"/>
      <c r="H26" s="122"/>
      <c r="I26" s="122"/>
      <c r="J26" s="122"/>
      <c r="K26" s="33"/>
      <c r="L26" s="33"/>
      <c r="M26" s="33"/>
      <c r="N26" s="33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33"/>
      <c r="HH26" s="2"/>
      <c r="HI26" s="2"/>
      <c r="HJ26" s="2"/>
    </row>
    <row r="27" spans="1:23" ht="15.75">
      <c r="A27" s="47"/>
      <c r="B27" s="379"/>
      <c r="C27" s="122"/>
      <c r="D27" s="66"/>
      <c r="E27" s="66"/>
      <c r="F27" s="68"/>
      <c r="G27" s="66"/>
      <c r="H27" s="30"/>
      <c r="K27" s="28"/>
      <c r="L27" s="66"/>
      <c r="S27" s="68"/>
      <c r="T27" s="68"/>
      <c r="U27" s="66"/>
      <c r="V27" s="66"/>
      <c r="W27" s="30"/>
    </row>
    <row r="28" spans="1:23" ht="15.75">
      <c r="A28" s="47"/>
      <c r="B28" s="66"/>
      <c r="C28" s="163"/>
      <c r="D28" s="380"/>
      <c r="E28" s="380"/>
      <c r="F28" s="68"/>
      <c r="G28" s="66"/>
      <c r="H28" s="30"/>
      <c r="K28" s="378"/>
      <c r="L28" s="66"/>
      <c r="S28" s="68"/>
      <c r="T28" s="68"/>
      <c r="U28" s="66"/>
      <c r="V28" s="66"/>
      <c r="W28" s="30"/>
    </row>
    <row r="29" spans="1:23" ht="19.5" customHeight="1">
      <c r="A29" s="47"/>
      <c r="B29" s="66"/>
      <c r="C29" s="66"/>
      <c r="D29" s="66"/>
      <c r="E29" s="66"/>
      <c r="F29" s="66"/>
      <c r="G29" s="66"/>
      <c r="H29" s="625"/>
      <c r="I29" s="625"/>
      <c r="J29" s="625"/>
      <c r="K29" s="28"/>
      <c r="L29" s="66"/>
      <c r="S29" s="66"/>
      <c r="T29" s="66"/>
      <c r="U29" s="66"/>
      <c r="V29" s="66"/>
      <c r="W29" s="30"/>
    </row>
    <row r="30" spans="1:23" ht="19.5" customHeight="1">
      <c r="A30" s="47"/>
      <c r="B30" s="66"/>
      <c r="C30" s="66"/>
      <c r="D30" s="66"/>
      <c r="E30" s="66"/>
      <c r="F30" s="66"/>
      <c r="G30" s="66"/>
      <c r="H30" s="625"/>
      <c r="I30" s="625"/>
      <c r="J30" s="625"/>
      <c r="K30" s="28"/>
      <c r="L30" s="66"/>
      <c r="S30" s="66"/>
      <c r="T30" s="66"/>
      <c r="U30" s="66"/>
      <c r="V30" s="66"/>
      <c r="W30" s="30"/>
    </row>
    <row r="31" spans="1:23" ht="19.5" customHeight="1">
      <c r="A31" s="47"/>
      <c r="B31" s="66"/>
      <c r="C31" s="66"/>
      <c r="D31" s="66"/>
      <c r="E31" s="66"/>
      <c r="F31" s="66"/>
      <c r="G31" s="66"/>
      <c r="H31" s="625"/>
      <c r="I31" s="625"/>
      <c r="J31" s="625"/>
      <c r="K31" s="28"/>
      <c r="L31" s="66"/>
      <c r="S31" s="66"/>
      <c r="T31" s="66"/>
      <c r="U31" s="66"/>
      <c r="V31" s="66"/>
      <c r="W31" s="30"/>
    </row>
    <row r="32" spans="1:23" ht="19.5" customHeight="1">
      <c r="A32" s="47"/>
      <c r="B32" s="66"/>
      <c r="C32" s="66"/>
      <c r="D32" s="66"/>
      <c r="E32" s="66"/>
      <c r="F32" s="66"/>
      <c r="G32" s="66"/>
      <c r="H32" s="625"/>
      <c r="I32" s="625"/>
      <c r="J32" s="625"/>
      <c r="K32" s="28"/>
      <c r="L32" s="66"/>
      <c r="S32" s="66"/>
      <c r="T32" s="66"/>
      <c r="U32" s="66"/>
      <c r="V32" s="66"/>
      <c r="W32" s="30"/>
    </row>
    <row r="33" spans="1:23" ht="19.5" customHeight="1">
      <c r="A33" s="47"/>
      <c r="B33" s="272"/>
      <c r="C33" s="66"/>
      <c r="D33" s="66"/>
      <c r="E33" s="658"/>
      <c r="F33" s="66"/>
      <c r="G33" s="66"/>
      <c r="H33" s="625"/>
      <c r="I33" s="625"/>
      <c r="J33" s="625"/>
      <c r="K33" s="28"/>
      <c r="L33" s="66"/>
      <c r="S33" s="66"/>
      <c r="T33" s="66"/>
      <c r="U33" s="66"/>
      <c r="V33" s="66"/>
      <c r="W33" s="30"/>
    </row>
    <row r="34" spans="1:23" ht="19.5" customHeight="1">
      <c r="A34" s="47"/>
      <c r="B34" s="66"/>
      <c r="C34" s="66"/>
      <c r="D34" s="66"/>
      <c r="E34" s="659"/>
      <c r="F34" s="66"/>
      <c r="G34" s="66"/>
      <c r="H34" s="625"/>
      <c r="I34" s="625"/>
      <c r="J34" s="625"/>
      <c r="K34" s="28"/>
      <c r="L34" s="66"/>
      <c r="S34" s="66"/>
      <c r="T34" s="66"/>
      <c r="U34" s="66"/>
      <c r="V34" s="66"/>
      <c r="W34" s="30"/>
    </row>
    <row r="35" spans="1:23" ht="19.5" customHeight="1">
      <c r="A35" s="47"/>
      <c r="B35" s="66"/>
      <c r="C35" s="660"/>
      <c r="D35" s="66"/>
      <c r="E35" s="607"/>
      <c r="F35" s="273"/>
      <c r="G35" s="66"/>
      <c r="H35" s="625"/>
      <c r="I35" s="625"/>
      <c r="J35" s="625"/>
      <c r="K35" s="28"/>
      <c r="L35" s="66"/>
      <c r="S35" s="273"/>
      <c r="T35" s="273"/>
      <c r="U35" s="66"/>
      <c r="V35" s="66"/>
      <c r="W35" s="30"/>
    </row>
    <row r="36" spans="1:23" ht="19.5" customHeight="1">
      <c r="A36" s="47"/>
      <c r="B36" s="66"/>
      <c r="C36" s="660"/>
      <c r="D36" s="66"/>
      <c r="E36" s="607"/>
      <c r="F36" s="68"/>
      <c r="G36" s="66"/>
      <c r="H36" s="625"/>
      <c r="I36" s="625"/>
      <c r="J36" s="625"/>
      <c r="K36" s="28"/>
      <c r="L36" s="66"/>
      <c r="S36" s="68"/>
      <c r="T36" s="68"/>
      <c r="U36" s="66"/>
      <c r="V36" s="66"/>
      <c r="W36" s="30"/>
    </row>
    <row r="37" spans="1:23" ht="19.5" customHeight="1">
      <c r="A37" s="47"/>
      <c r="B37" s="66"/>
      <c r="C37" s="660"/>
      <c r="D37" s="66"/>
      <c r="E37" s="67"/>
      <c r="F37" s="660"/>
      <c r="G37" s="66"/>
      <c r="H37" s="625"/>
      <c r="I37" s="625"/>
      <c r="J37" s="625"/>
      <c r="K37" s="28"/>
      <c r="L37" s="66"/>
      <c r="S37" s="68"/>
      <c r="T37" s="68"/>
      <c r="U37" s="66"/>
      <c r="V37" s="66"/>
      <c r="W37" s="30"/>
    </row>
    <row r="38" spans="1:23" ht="19.5" customHeight="1">
      <c r="A38" s="47"/>
      <c r="B38" s="66"/>
      <c r="C38" s="661"/>
      <c r="D38" s="66"/>
      <c r="E38" s="607"/>
      <c r="F38" s="660"/>
      <c r="G38" s="66"/>
      <c r="H38" s="625"/>
      <c r="I38" s="625"/>
      <c r="J38" s="625"/>
      <c r="K38" s="28"/>
      <c r="L38" s="66"/>
      <c r="S38" s="68"/>
      <c r="T38" s="68"/>
      <c r="U38" s="66"/>
      <c r="V38" s="66"/>
      <c r="W38" s="30"/>
    </row>
    <row r="39" spans="1:23" ht="19.5" customHeight="1">
      <c r="A39" s="47"/>
      <c r="B39" s="66"/>
      <c r="C39" s="66"/>
      <c r="D39" s="66"/>
      <c r="E39" s="67"/>
      <c r="F39" s="660"/>
      <c r="G39" s="66"/>
      <c r="H39" s="625"/>
      <c r="I39" s="625"/>
      <c r="J39" s="625"/>
      <c r="K39" s="28"/>
      <c r="L39" s="66"/>
      <c r="S39" s="68"/>
      <c r="T39" s="68"/>
      <c r="U39" s="66"/>
      <c r="V39" s="66"/>
      <c r="W39" s="30"/>
    </row>
    <row r="40" spans="1:23" ht="19.5" customHeight="1">
      <c r="A40" s="48"/>
      <c r="B40" s="66"/>
      <c r="C40" s="660"/>
      <c r="D40" s="68"/>
      <c r="E40" s="607"/>
      <c r="F40" s="619"/>
      <c r="G40" s="66"/>
      <c r="H40" s="625"/>
      <c r="I40" s="625"/>
      <c r="J40" s="625"/>
      <c r="K40" s="28"/>
      <c r="L40" s="66"/>
      <c r="S40" s="68"/>
      <c r="T40" s="68"/>
      <c r="U40" s="66"/>
      <c r="V40" s="66"/>
      <c r="W40" s="30"/>
    </row>
    <row r="41" spans="1:23" ht="19.5" customHeight="1">
      <c r="A41" s="122"/>
      <c r="B41" s="621"/>
      <c r="C41" s="66"/>
      <c r="D41" s="66"/>
      <c r="E41" s="607"/>
      <c r="F41" s="619"/>
      <c r="G41" s="66"/>
      <c r="H41" s="625"/>
      <c r="I41" s="625"/>
      <c r="J41" s="625"/>
      <c r="K41" s="28"/>
      <c r="L41" s="66"/>
      <c r="S41" s="68"/>
      <c r="T41" s="68"/>
      <c r="U41" s="66"/>
      <c r="V41" s="66"/>
      <c r="W41" s="30"/>
    </row>
    <row r="42" spans="1:23" ht="15.75">
      <c r="A42" s="122"/>
      <c r="B42" s="66"/>
      <c r="C42" s="66"/>
      <c r="D42" s="66"/>
      <c r="E42" s="66"/>
      <c r="F42" s="68"/>
      <c r="G42" s="605"/>
      <c r="H42" s="625"/>
      <c r="I42" s="625"/>
      <c r="J42" s="625"/>
      <c r="K42" s="378"/>
      <c r="L42" s="68"/>
      <c r="M42" s="272"/>
      <c r="N42" s="66"/>
      <c r="O42" s="68"/>
      <c r="P42" s="68"/>
      <c r="Q42" s="68"/>
      <c r="R42" s="68"/>
      <c r="S42" s="68"/>
      <c r="T42" s="68"/>
      <c r="U42" s="66"/>
      <c r="V42" s="68"/>
      <c r="W42" s="31"/>
    </row>
    <row r="43" spans="1:10" ht="15.75">
      <c r="A43" s="122"/>
      <c r="B43" s="66"/>
      <c r="C43" s="66"/>
      <c r="D43" s="66"/>
      <c r="E43" s="66"/>
      <c r="F43" s="66"/>
      <c r="G43" s="30"/>
      <c r="H43" s="30"/>
      <c r="I43" s="30"/>
      <c r="J43" s="30"/>
    </row>
  </sheetData>
  <mergeCells count="2">
    <mergeCell ref="B18:D18"/>
    <mergeCell ref="I20:K20"/>
  </mergeCells>
  <printOptions/>
  <pageMargins left="0.24" right="0.22" top="0.45" bottom="1" header="0.4921259845" footer="0.4921259845"/>
  <pageSetup fitToHeight="1" fitToWidth="1" horizontalDpi="300" verticalDpi="3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J41"/>
  <sheetViews>
    <sheetView workbookViewId="0" topLeftCell="B19">
      <selection activeCell="L21" sqref="L21"/>
    </sheetView>
  </sheetViews>
  <sheetFormatPr defaultColWidth="11.421875" defaultRowHeight="12.75"/>
  <cols>
    <col min="1" max="1" width="23.8515625" style="1" customWidth="1"/>
    <col min="2" max="2" width="8.7109375" style="2" customWidth="1"/>
    <col min="3" max="3" width="9.28125" style="2" customWidth="1"/>
    <col min="4" max="4" width="12.8515625" style="2" customWidth="1"/>
    <col min="5" max="5" width="13.7109375" style="2" customWidth="1"/>
    <col min="6" max="9" width="14.28125" style="2" customWidth="1"/>
    <col min="10" max="10" width="11.28125" style="2" customWidth="1"/>
    <col min="11" max="11" width="10.57421875" style="2" customWidth="1"/>
    <col min="12" max="12" width="9.8515625" style="2" customWidth="1"/>
    <col min="13" max="13" width="11.8515625" style="2" customWidth="1"/>
    <col min="14" max="14" width="12.140625" style="2" customWidth="1"/>
    <col min="15" max="15" width="10.28125" style="2" customWidth="1"/>
    <col min="16" max="16" width="11.8515625" style="2" customWidth="1"/>
    <col min="17" max="17" width="12.421875" style="2" customWidth="1"/>
    <col min="18" max="18" width="14.28125" style="2" customWidth="1"/>
    <col min="19" max="20" width="14.00390625" style="2" customWidth="1"/>
    <col min="21" max="21" width="16.7109375" style="2" customWidth="1"/>
    <col min="22" max="22" width="10.140625" style="2" customWidth="1"/>
    <col min="23" max="23" width="15.28125" style="2" customWidth="1"/>
    <col min="24" max="215" width="11.421875" style="2" customWidth="1"/>
  </cols>
  <sheetData>
    <row r="1" spans="1:2" ht="18">
      <c r="A1" s="4"/>
      <c r="B1" s="373" t="s">
        <v>183</v>
      </c>
    </row>
    <row r="2" spans="1:12" ht="18">
      <c r="A2" s="4"/>
      <c r="B2" s="374" t="s">
        <v>188</v>
      </c>
      <c r="K2" s="478"/>
      <c r="L2" s="479"/>
    </row>
    <row r="3" spans="1:12" ht="18">
      <c r="A3" s="4"/>
      <c r="B3" s="374" t="s">
        <v>184</v>
      </c>
      <c r="K3" s="458"/>
      <c r="L3" s="458"/>
    </row>
    <row r="4" spans="1:2" ht="18">
      <c r="A4" s="4"/>
      <c r="B4" s="374" t="s">
        <v>193</v>
      </c>
    </row>
    <row r="5" spans="1:2" ht="18">
      <c r="A5" s="4"/>
      <c r="B5" s="374" t="s">
        <v>121</v>
      </c>
    </row>
    <row r="6" spans="2:24" ht="15.75">
      <c r="B6" s="374" t="s">
        <v>115</v>
      </c>
      <c r="H6" s="518">
        <v>50</v>
      </c>
      <c r="I6" s="479" t="s">
        <v>64</v>
      </c>
      <c r="X6" s="25"/>
    </row>
    <row r="7" ht="15.75">
      <c r="X7" s="66"/>
    </row>
    <row r="8" spans="2:218" ht="16.5" thickBot="1">
      <c r="B8" s="39"/>
      <c r="C8" s="39"/>
      <c r="D8" s="39"/>
      <c r="E8" s="39"/>
      <c r="F8" s="39"/>
      <c r="G8" s="39"/>
      <c r="H8" s="48"/>
      <c r="I8" s="48"/>
      <c r="J8" s="48"/>
      <c r="K8" s="412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66"/>
      <c r="AB8" s="30"/>
      <c r="HH8" s="2"/>
      <c r="HI8" s="2"/>
      <c r="HJ8" s="2"/>
    </row>
    <row r="9" spans="1:215" ht="15.75">
      <c r="A9" s="47"/>
      <c r="B9" s="578" t="s">
        <v>133</v>
      </c>
      <c r="C9" s="125"/>
      <c r="D9" s="579"/>
      <c r="E9" s="578" t="s">
        <v>134</v>
      </c>
      <c r="F9" s="125"/>
      <c r="G9" s="125"/>
      <c r="H9" s="126"/>
      <c r="I9" s="449" t="s">
        <v>132</v>
      </c>
      <c r="J9" s="435"/>
      <c r="K9" s="436"/>
      <c r="L9" s="600" t="s">
        <v>136</v>
      </c>
      <c r="M9" s="594"/>
      <c r="N9" s="601"/>
      <c r="O9" s="414" t="s">
        <v>38</v>
      </c>
      <c r="P9" s="414"/>
      <c r="Q9" s="414"/>
      <c r="R9" s="550" t="s">
        <v>98</v>
      </c>
      <c r="S9" s="449" t="s">
        <v>16</v>
      </c>
      <c r="T9" s="435"/>
      <c r="U9" s="436"/>
      <c r="V9" s="26"/>
      <c r="HF9"/>
      <c r="HG9"/>
    </row>
    <row r="10" spans="1:215" ht="15.75">
      <c r="A10" s="47"/>
      <c r="B10" s="127"/>
      <c r="C10" s="122"/>
      <c r="D10" s="122"/>
      <c r="E10" s="626"/>
      <c r="F10" s="122"/>
      <c r="G10" s="122"/>
      <c r="H10" s="580"/>
      <c r="I10" s="437"/>
      <c r="J10" s="593"/>
      <c r="K10" s="445"/>
      <c r="L10" s="706"/>
      <c r="M10" s="141"/>
      <c r="N10" s="41"/>
      <c r="O10" s="596"/>
      <c r="P10" s="408"/>
      <c r="Q10" s="409"/>
      <c r="R10" s="551" t="s">
        <v>99</v>
      </c>
      <c r="S10" s="437"/>
      <c r="T10" s="25"/>
      <c r="U10" s="450"/>
      <c r="HF10"/>
      <c r="HG10"/>
    </row>
    <row r="11" spans="1:215" ht="48" thickBot="1">
      <c r="A11" s="115"/>
      <c r="B11" s="416" t="s">
        <v>3</v>
      </c>
      <c r="C11" s="410" t="s">
        <v>14</v>
      </c>
      <c r="D11" s="425" t="s">
        <v>40</v>
      </c>
      <c r="E11" s="416" t="s">
        <v>3</v>
      </c>
      <c r="F11" s="410" t="s">
        <v>14</v>
      </c>
      <c r="G11" s="404" t="s">
        <v>40</v>
      </c>
      <c r="H11" s="430" t="s">
        <v>116</v>
      </c>
      <c r="I11" s="54" t="s">
        <v>3</v>
      </c>
      <c r="J11" s="46" t="s">
        <v>14</v>
      </c>
      <c r="K11" s="603" t="s">
        <v>40</v>
      </c>
      <c r="L11" s="595" t="s">
        <v>3</v>
      </c>
      <c r="M11" s="46" t="s">
        <v>14</v>
      </c>
      <c r="N11" s="581" t="s">
        <v>40</v>
      </c>
      <c r="O11" s="597" t="s">
        <v>3</v>
      </c>
      <c r="P11" s="410" t="s">
        <v>14</v>
      </c>
      <c r="Q11" s="425" t="s">
        <v>40</v>
      </c>
      <c r="R11" s="552"/>
      <c r="S11" s="54" t="s">
        <v>3</v>
      </c>
      <c r="T11" s="46" t="s">
        <v>14</v>
      </c>
      <c r="U11" s="521" t="s">
        <v>120</v>
      </c>
      <c r="HF11"/>
      <c r="HG11"/>
    </row>
    <row r="12" spans="1:215" ht="20.25" customHeight="1">
      <c r="A12" s="120" t="s">
        <v>43</v>
      </c>
      <c r="B12" s="690">
        <f>Daten!C8</f>
        <v>61</v>
      </c>
      <c r="C12" s="411">
        <f>Daten!D8</f>
        <v>4</v>
      </c>
      <c r="D12" s="426">
        <f>Daten!B33</f>
        <v>16722.7129</v>
      </c>
      <c r="E12" s="417">
        <f>Daten!O8</f>
        <v>67</v>
      </c>
      <c r="F12" s="411">
        <f>Daten!P8</f>
        <v>4</v>
      </c>
      <c r="G12" s="44">
        <f>Daten!R33</f>
        <v>46841.1465</v>
      </c>
      <c r="H12" s="431">
        <f>G12</f>
        <v>46841.1465</v>
      </c>
      <c r="I12" s="54">
        <f>Daten!F8</f>
        <v>106</v>
      </c>
      <c r="J12" s="46">
        <f>Daten!G8</f>
        <v>6</v>
      </c>
      <c r="K12" s="422">
        <f>Daten!F33</f>
        <v>31083.53695</v>
      </c>
      <c r="L12" s="704">
        <f>Daten!I8</f>
        <v>104</v>
      </c>
      <c r="M12" s="46">
        <f>Daten!J8</f>
        <v>5</v>
      </c>
      <c r="N12" s="582">
        <f>Daten!J33</f>
        <v>35757.511</v>
      </c>
      <c r="O12" s="598">
        <f>Daten!L8</f>
        <v>141</v>
      </c>
      <c r="P12" s="411">
        <f>Daten!M8</f>
        <v>6</v>
      </c>
      <c r="Q12" s="426">
        <f>Daten!N33</f>
        <v>75102.2875</v>
      </c>
      <c r="R12" s="553"/>
      <c r="S12" s="451"/>
      <c r="T12" s="406"/>
      <c r="U12" s="452"/>
      <c r="HF12"/>
      <c r="HG12"/>
    </row>
    <row r="13" spans="1:215" ht="20.25" customHeight="1">
      <c r="A13" s="121" t="s">
        <v>44</v>
      </c>
      <c r="B13" s="690">
        <f>Daten!C9</f>
        <v>59</v>
      </c>
      <c r="C13" s="411">
        <f>Daten!D9</f>
        <v>4</v>
      </c>
      <c r="D13" s="426">
        <f>Daten!B34</f>
        <v>17029.7022385</v>
      </c>
      <c r="E13" s="417">
        <f>Daten!O9</f>
        <v>67</v>
      </c>
      <c r="F13" s="411">
        <f>Daten!P9</f>
        <v>4</v>
      </c>
      <c r="G13" s="44">
        <f>Daten!R34</f>
        <v>47426.5200225</v>
      </c>
      <c r="H13" s="431">
        <f aca="true" t="shared" si="0" ref="H13:H23">G13</f>
        <v>47426.5200225</v>
      </c>
      <c r="I13" s="54">
        <f>Daten!F9</f>
        <v>102</v>
      </c>
      <c r="J13" s="46">
        <f>Daten!G9</f>
        <v>5</v>
      </c>
      <c r="K13" s="422">
        <f>Daten!F34</f>
        <v>31486.220851749997</v>
      </c>
      <c r="L13" s="704">
        <f>Daten!I9</f>
        <v>93</v>
      </c>
      <c r="M13" s="46">
        <f>Daten!J9</f>
        <v>5</v>
      </c>
      <c r="N13" s="582">
        <f>Daten!J34</f>
        <v>36108.440214999995</v>
      </c>
      <c r="O13" s="598">
        <f>Daten!L9</f>
        <v>136</v>
      </c>
      <c r="P13" s="411">
        <f>Daten!M9</f>
        <v>7</v>
      </c>
      <c r="Q13" s="426">
        <f>Daten!N34</f>
        <v>76245.0191875</v>
      </c>
      <c r="R13" s="553"/>
      <c r="S13" s="453"/>
      <c r="T13" s="406"/>
      <c r="U13" s="454"/>
      <c r="HF13"/>
      <c r="HG13"/>
    </row>
    <row r="14" spans="1:215" ht="20.25" customHeight="1">
      <c r="A14" s="121" t="s">
        <v>45</v>
      </c>
      <c r="B14" s="690">
        <f>Daten!C10</f>
        <v>61</v>
      </c>
      <c r="C14" s="411">
        <f>Daten!D10</f>
        <v>4</v>
      </c>
      <c r="D14" s="426">
        <f>Daten!B35</f>
        <v>17356.645884002497</v>
      </c>
      <c r="E14" s="417">
        <f>Daten!O10</f>
        <v>65</v>
      </c>
      <c r="F14" s="411">
        <f>Daten!P10</f>
        <v>4</v>
      </c>
      <c r="G14" s="44">
        <f>Daten!R35</f>
        <v>48049.9428239625</v>
      </c>
      <c r="H14" s="431">
        <f t="shared" si="0"/>
        <v>48049.9428239625</v>
      </c>
      <c r="I14" s="54">
        <f>Daten!F10</f>
        <v>97</v>
      </c>
      <c r="J14" s="46">
        <f>Daten!G10</f>
        <v>5</v>
      </c>
      <c r="K14" s="422">
        <f>Daten!F35</f>
        <v>31915.079207113744</v>
      </c>
      <c r="L14" s="704">
        <f>Daten!I10</f>
        <v>76</v>
      </c>
      <c r="M14" s="46">
        <f>Daten!J10</f>
        <v>4</v>
      </c>
      <c r="N14" s="582">
        <f>Daten!J35</f>
        <v>36482.17982897499</v>
      </c>
      <c r="O14" s="598">
        <f>Daten!L10</f>
        <v>124</v>
      </c>
      <c r="P14" s="411">
        <f>Daten!M10</f>
        <v>7</v>
      </c>
      <c r="Q14" s="426">
        <f>Daten!N35-$K$2</f>
        <v>77462.0284346875</v>
      </c>
      <c r="R14" s="554">
        <f>Daten!$F$86</f>
        <v>8500</v>
      </c>
      <c r="S14" s="421">
        <f>L14+I14+O14+E14+B14</f>
        <v>423</v>
      </c>
      <c r="T14" s="588">
        <f>M14+J14+P14+F14+C14</f>
        <v>24</v>
      </c>
      <c r="U14" s="455">
        <f>Q14+N14+K14+H14+D14</f>
        <v>211265.87617874122</v>
      </c>
      <c r="HF14"/>
      <c r="HG14"/>
    </row>
    <row r="15" spans="1:215" ht="20.25" customHeight="1">
      <c r="A15" s="121" t="s">
        <v>46</v>
      </c>
      <c r="B15" s="690">
        <f>Daten!C11</f>
        <v>52</v>
      </c>
      <c r="C15" s="411">
        <f>Daten!D11</f>
        <v>3</v>
      </c>
      <c r="D15" s="426">
        <f>Daten!B36</f>
        <v>17704.840866462662</v>
      </c>
      <c r="E15" s="417">
        <f>Daten!O11</f>
        <v>57</v>
      </c>
      <c r="F15" s="411">
        <f>Daten!P11</f>
        <v>3</v>
      </c>
      <c r="G15" s="44">
        <f>Daten!R36</f>
        <v>48713.88810752006</v>
      </c>
      <c r="H15" s="431">
        <f t="shared" si="0"/>
        <v>48713.88810752006</v>
      </c>
      <c r="I15" s="54">
        <f>Daten!F11</f>
        <v>86</v>
      </c>
      <c r="J15" s="46">
        <f>Daten!G11</f>
        <v>4</v>
      </c>
      <c r="K15" s="422">
        <f>Daten!F36</f>
        <v>32371.813355576134</v>
      </c>
      <c r="L15" s="704">
        <f>Daten!I11</f>
        <v>75</v>
      </c>
      <c r="M15" s="46">
        <f>Daten!J11</f>
        <v>4</v>
      </c>
      <c r="N15" s="582">
        <f>Daten!J36</f>
        <v>36880.21251785837</v>
      </c>
      <c r="O15" s="598">
        <f>Daten!L11</f>
        <v>110</v>
      </c>
      <c r="P15" s="411">
        <f>Daten!M11</f>
        <v>6</v>
      </c>
      <c r="Q15" s="426">
        <f>Daten!N36-$K$2</f>
        <v>78758.14328294218</v>
      </c>
      <c r="R15" s="554">
        <f>Daten!$F$86</f>
        <v>8500</v>
      </c>
      <c r="S15" s="421">
        <f>L15+I15+O15+E15+B15</f>
        <v>380</v>
      </c>
      <c r="T15" s="588">
        <f>M15+J15+P15+F15+C15</f>
        <v>20</v>
      </c>
      <c r="U15" s="455">
        <f>Q15+N15+K15+H15+D15</f>
        <v>214428.89813035942</v>
      </c>
      <c r="HF15"/>
      <c r="HG15"/>
    </row>
    <row r="16" spans="1:215" ht="20.25" customHeight="1">
      <c r="A16" s="121" t="s">
        <v>47</v>
      </c>
      <c r="B16" s="765" t="s">
        <v>135</v>
      </c>
      <c r="C16" s="766"/>
      <c r="D16" s="766"/>
      <c r="E16" s="690">
        <f>Daten!O12+Daten!C12</f>
        <v>102</v>
      </c>
      <c r="F16" s="411">
        <v>5</v>
      </c>
      <c r="G16" s="44">
        <f>Daten!R37</f>
        <v>49420.989834508866</v>
      </c>
      <c r="H16" s="431">
        <f t="shared" si="0"/>
        <v>49420.989834508866</v>
      </c>
      <c r="I16" s="54">
        <f>Daten!F12</f>
        <v>76</v>
      </c>
      <c r="J16" s="46">
        <f>Daten!G12</f>
        <v>4</v>
      </c>
      <c r="K16" s="422">
        <f>Daten!F37</f>
        <v>32858.23522368858</v>
      </c>
      <c r="L16" s="704">
        <f>Daten!I12</f>
        <v>70</v>
      </c>
      <c r="M16" s="46">
        <f>Daten!J12</f>
        <v>4</v>
      </c>
      <c r="N16" s="582">
        <f>Daten!J37</f>
        <v>37304.117331519155</v>
      </c>
      <c r="O16" s="598">
        <f>Daten!L12</f>
        <v>113</v>
      </c>
      <c r="P16" s="411">
        <f>Daten!M12</f>
        <v>6</v>
      </c>
      <c r="Q16" s="426">
        <f>Daten!N37-$K$2</f>
        <v>80138.50559633343</v>
      </c>
      <c r="R16" s="554">
        <f>Daten!$F$86+Daten!$J$86</f>
        <v>19600</v>
      </c>
      <c r="S16" s="421">
        <f>L16+O16+E16+I16</f>
        <v>361</v>
      </c>
      <c r="T16" s="588">
        <f>M16+P16+F16+J16</f>
        <v>19</v>
      </c>
      <c r="U16" s="455">
        <f>Q16+N16+K16+H16+D16</f>
        <v>199721.84798605</v>
      </c>
      <c r="HF16"/>
      <c r="HG16"/>
    </row>
    <row r="17" spans="1:213" s="70" customFormat="1" ht="20.25" customHeight="1">
      <c r="A17" s="121" t="s">
        <v>48</v>
      </c>
      <c r="B17" s="690"/>
      <c r="C17" s="411"/>
      <c r="D17" s="426"/>
      <c r="E17" s="417">
        <f>Daten!O13+Daten!C13</f>
        <v>90</v>
      </c>
      <c r="F17" s="411">
        <v>4</v>
      </c>
      <c r="G17" s="44">
        <f>Daten!R38</f>
        <v>50174.05317375194</v>
      </c>
      <c r="H17" s="431">
        <f t="shared" si="0"/>
        <v>50174.05317375194</v>
      </c>
      <c r="I17" s="54">
        <f>Daten!F13</f>
        <v>70</v>
      </c>
      <c r="J17" s="46">
        <f>Daten!G13</f>
        <v>4</v>
      </c>
      <c r="K17" s="422">
        <f>Daten!F38</f>
        <v>33376.27451322834</v>
      </c>
      <c r="L17" s="704">
        <f>Daten!I13</f>
        <v>67</v>
      </c>
      <c r="M17" s="46">
        <f>Daten!J13</f>
        <v>4</v>
      </c>
      <c r="N17" s="582">
        <f>Daten!J38</f>
        <v>37755.5759580679</v>
      </c>
      <c r="O17" s="598">
        <f>Daten!L13</f>
        <v>102</v>
      </c>
      <c r="P17" s="411">
        <f>Daten!M13</f>
        <v>5</v>
      </c>
      <c r="Q17" s="426">
        <f>Daten!N38-$K$2</f>
        <v>81608.59146009511</v>
      </c>
      <c r="R17" s="554">
        <f>Daten!$F$86+Daten!$J$86</f>
        <v>19600</v>
      </c>
      <c r="S17" s="421">
        <f aca="true" t="shared" si="1" ref="S17:T23">L17+O17+E17+I17</f>
        <v>329</v>
      </c>
      <c r="T17" s="588">
        <f t="shared" si="1"/>
        <v>17</v>
      </c>
      <c r="U17" s="455">
        <f aca="true" t="shared" si="2" ref="U17:U23">Q17+N17+K17+H17+D17</f>
        <v>202914.4951051433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</row>
    <row r="18" spans="1:213" s="70" customFormat="1" ht="20.25" customHeight="1" thickBot="1">
      <c r="A18" s="641" t="s">
        <v>147</v>
      </c>
      <c r="B18" s="691"/>
      <c r="C18" s="419"/>
      <c r="D18" s="427"/>
      <c r="E18" s="418">
        <f>Daten!O14+Daten!C14</f>
        <v>84</v>
      </c>
      <c r="F18" s="419">
        <v>4</v>
      </c>
      <c r="G18" s="446">
        <f>Daten!R39</f>
        <v>50976.065630045814</v>
      </c>
      <c r="H18" s="432">
        <f t="shared" si="0"/>
        <v>50976.065630045814</v>
      </c>
      <c r="I18" s="182">
        <f>Daten!F14</f>
        <v>65</v>
      </c>
      <c r="J18" s="183">
        <f>Daten!G14</f>
        <v>4</v>
      </c>
      <c r="K18" s="604">
        <f>Daten!F39</f>
        <v>33927.98635658818</v>
      </c>
      <c r="L18" s="705">
        <f>Daten!I14</f>
        <v>61</v>
      </c>
      <c r="M18" s="183">
        <f>Daten!J14</f>
        <v>4</v>
      </c>
      <c r="N18" s="583">
        <f>Daten!J39</f>
        <v>38236.379395342316</v>
      </c>
      <c r="O18" s="599">
        <f>Daten!L14</f>
        <v>98</v>
      </c>
      <c r="P18" s="419">
        <f>Daten!M14</f>
        <v>4</v>
      </c>
      <c r="Q18" s="427">
        <f>Daten!N39-$K$2</f>
        <v>83174.23290500129</v>
      </c>
      <c r="R18" s="555">
        <f>Daten!$F$86+Daten!$J$86</f>
        <v>19600</v>
      </c>
      <c r="S18" s="423">
        <f t="shared" si="1"/>
        <v>308</v>
      </c>
      <c r="T18" s="589">
        <f t="shared" si="1"/>
        <v>16</v>
      </c>
      <c r="U18" s="456">
        <f t="shared" si="2"/>
        <v>206314.66428697758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</row>
    <row r="19" spans="1:213" s="69" customFormat="1" ht="20.25" customHeight="1" thickBot="1">
      <c r="A19" s="122" t="s">
        <v>7</v>
      </c>
      <c r="B19" s="122"/>
      <c r="C19" s="122"/>
      <c r="D19" s="122"/>
      <c r="E19" s="606"/>
      <c r="F19" s="122"/>
      <c r="G19" s="689"/>
      <c r="H19" s="559"/>
      <c r="I19" s="711"/>
      <c r="J19" s="68"/>
      <c r="K19" s="712"/>
      <c r="L19" s="68"/>
      <c r="M19" s="68"/>
      <c r="N19" s="592"/>
      <c r="O19" s="608"/>
      <c r="P19" s="608"/>
      <c r="Q19" s="592"/>
      <c r="R19" s="628"/>
      <c r="S19" s="608"/>
      <c r="T19" s="608"/>
      <c r="U19" s="609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</row>
    <row r="20" spans="1:213" s="72" customFormat="1" ht="20.25" customHeight="1">
      <c r="A20" s="584" t="s">
        <v>49</v>
      </c>
      <c r="B20" s="83"/>
      <c r="C20" s="575"/>
      <c r="D20" s="697"/>
      <c r="E20" s="590">
        <f>Daten!O16+Daten!C16</f>
        <v>79.87044534412955</v>
      </c>
      <c r="F20" s="420">
        <v>4</v>
      </c>
      <c r="G20" s="447">
        <f>Daten!R41</f>
        <v>55839.250728129846</v>
      </c>
      <c r="H20" s="627">
        <f t="shared" si="0"/>
        <v>55839.250728129846</v>
      </c>
      <c r="I20" s="662">
        <f>Daten!F16</f>
        <v>61.804511278195484</v>
      </c>
      <c r="J20" s="708">
        <f>Daten!G16</f>
        <v>3</v>
      </c>
      <c r="K20" s="591">
        <f>Daten!F41</f>
        <v>37273.41670995531</v>
      </c>
      <c r="L20" s="707">
        <f>Daten!I16</f>
        <v>58.00115673799885</v>
      </c>
      <c r="M20" s="708">
        <f>Daten!J16</f>
        <v>3</v>
      </c>
      <c r="N20" s="591">
        <f>Daten!J41</f>
        <v>41151.84048688891</v>
      </c>
      <c r="O20" s="587">
        <f>Daten!L16</f>
        <v>93.18218623481782</v>
      </c>
      <c r="P20" s="420">
        <f>Daten!M16</f>
        <v>4</v>
      </c>
      <c r="Q20" s="567">
        <f>Daten!N41-$K$2</f>
        <v>92667.8562073064</v>
      </c>
      <c r="R20" s="630">
        <f>Daten!$F$86+Daten!$J$86</f>
        <v>19600</v>
      </c>
      <c r="S20" s="662">
        <f t="shared" si="1"/>
        <v>292.8582995951417</v>
      </c>
      <c r="T20" s="587">
        <f t="shared" si="1"/>
        <v>14</v>
      </c>
      <c r="U20" s="457">
        <f t="shared" si="2"/>
        <v>226932.36413228046</v>
      </c>
      <c r="V20" s="60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1:215" ht="20.25" customHeight="1">
      <c r="A21" s="585" t="s">
        <v>50</v>
      </c>
      <c r="B21" s="568"/>
      <c r="C21" s="576"/>
      <c r="D21" s="698"/>
      <c r="E21" s="417">
        <f>Daten!O17+Daten!C17</f>
        <v>76.76113360323886</v>
      </c>
      <c r="F21" s="405">
        <v>4</v>
      </c>
      <c r="G21" s="44">
        <f>Daten!R42</f>
        <v>71631.10272088955</v>
      </c>
      <c r="H21" s="431">
        <f t="shared" si="0"/>
        <v>71631.10272088955</v>
      </c>
      <c r="I21" s="421">
        <f>Daten!F17</f>
        <v>59.3984962406015</v>
      </c>
      <c r="J21" s="46">
        <f>Daten!G17</f>
        <v>3</v>
      </c>
      <c r="K21" s="582">
        <f>Daten!F42</f>
        <v>48136.77887424417</v>
      </c>
      <c r="L21" s="709">
        <f>Daten!I17</f>
        <v>55.743204164256795</v>
      </c>
      <c r="M21" s="46">
        <f>Daten!J17</f>
        <v>3</v>
      </c>
      <c r="N21" s="582">
        <f>Daten!J42</f>
        <v>50618.996089601285</v>
      </c>
      <c r="O21" s="588">
        <f>Daten!L17</f>
        <v>89.55465587044534</v>
      </c>
      <c r="P21" s="405">
        <f>Daten!M17</f>
        <v>4</v>
      </c>
      <c r="Q21" s="566">
        <f>Daten!N42-$K$2</f>
        <v>123495.7788631975</v>
      </c>
      <c r="R21" s="554">
        <f>Daten!$F$86+Daten!$J$86</f>
        <v>19600</v>
      </c>
      <c r="S21" s="421">
        <f t="shared" si="1"/>
        <v>281.4574898785425</v>
      </c>
      <c r="T21" s="588">
        <f t="shared" si="1"/>
        <v>14</v>
      </c>
      <c r="U21" s="455">
        <f t="shared" si="2"/>
        <v>293882.65654793254</v>
      </c>
      <c r="V21" s="30"/>
      <c r="HF21"/>
      <c r="HG21"/>
    </row>
    <row r="22" spans="1:215" ht="20.25" customHeight="1">
      <c r="A22" s="585" t="s">
        <v>51</v>
      </c>
      <c r="B22" s="568"/>
      <c r="C22" s="576"/>
      <c r="D22" s="698"/>
      <c r="E22" s="417">
        <f>Daten!O18+Daten!C18</f>
        <v>67.43319838056681</v>
      </c>
      <c r="F22" s="405">
        <v>4</v>
      </c>
      <c r="G22" s="44">
        <f>Daten!R43</f>
        <v>71631.10272088955</v>
      </c>
      <c r="H22" s="431">
        <f t="shared" si="0"/>
        <v>71631.10272088955</v>
      </c>
      <c r="I22" s="421">
        <f>Daten!F18</f>
        <v>52.18045112781955</v>
      </c>
      <c r="J22" s="46">
        <f>Daten!G18</f>
        <v>2</v>
      </c>
      <c r="K22" s="582">
        <f>Daten!F43</f>
        <v>48136.77887424417</v>
      </c>
      <c r="L22" s="709">
        <f>Daten!I18</f>
        <v>48.96934644303066</v>
      </c>
      <c r="M22" s="46">
        <f>Daten!J18</f>
        <v>2</v>
      </c>
      <c r="N22" s="582">
        <f>Daten!J43</f>
        <v>50618.996089601285</v>
      </c>
      <c r="O22" s="588">
        <f>Daten!L18</f>
        <v>78.67206477732795</v>
      </c>
      <c r="P22" s="405">
        <f>Daten!M18</f>
        <v>4</v>
      </c>
      <c r="Q22" s="566">
        <f>Daten!N43-$K$2</f>
        <v>123495.7788631975</v>
      </c>
      <c r="R22" s="554">
        <f>Daten!$F$86+Daten!$J$86</f>
        <v>19600</v>
      </c>
      <c r="S22" s="421">
        <f t="shared" si="1"/>
        <v>247.25506072874498</v>
      </c>
      <c r="T22" s="588">
        <f t="shared" si="1"/>
        <v>12</v>
      </c>
      <c r="U22" s="455">
        <f t="shared" si="2"/>
        <v>293882.65654793254</v>
      </c>
      <c r="V22" s="30"/>
      <c r="HF22"/>
      <c r="HG22"/>
    </row>
    <row r="23" spans="1:215" ht="20.25" customHeight="1" thickBot="1">
      <c r="A23" s="586" t="s">
        <v>52</v>
      </c>
      <c r="B23" s="569"/>
      <c r="C23" s="577"/>
      <c r="D23" s="699"/>
      <c r="E23" s="418">
        <f>Daten!O19+Daten!C19</f>
        <v>61.020242914979754</v>
      </c>
      <c r="F23" s="424">
        <v>4</v>
      </c>
      <c r="G23" s="446">
        <f>Daten!R44</f>
        <v>71631.10272088955</v>
      </c>
      <c r="H23" s="432">
        <f t="shared" si="0"/>
        <v>71631.10272088955</v>
      </c>
      <c r="I23" s="423">
        <f>Daten!F19</f>
        <v>47.21804511278195</v>
      </c>
      <c r="J23" s="183">
        <f>Daten!G19</f>
        <v>2</v>
      </c>
      <c r="K23" s="583">
        <f>Daten!F44</f>
        <v>48136.77887424417</v>
      </c>
      <c r="L23" s="710">
        <f>Daten!I19</f>
        <v>44.31231925968768</v>
      </c>
      <c r="M23" s="183">
        <f>Daten!J19</f>
        <v>2</v>
      </c>
      <c r="N23" s="583">
        <f>Daten!J44</f>
        <v>50618.996089601285</v>
      </c>
      <c r="O23" s="589">
        <f>Daten!L19</f>
        <v>71.19028340080972</v>
      </c>
      <c r="P23" s="424">
        <f>Daten!M19</f>
        <v>4</v>
      </c>
      <c r="Q23" s="570">
        <f>Daten!N44-$K$2</f>
        <v>123495.7788631975</v>
      </c>
      <c r="R23" s="555">
        <f>Daten!$F$86+Daten!$J$86</f>
        <v>19600</v>
      </c>
      <c r="S23" s="423">
        <f t="shared" si="1"/>
        <v>223.74089068825913</v>
      </c>
      <c r="T23" s="589">
        <f t="shared" si="1"/>
        <v>12</v>
      </c>
      <c r="U23" s="456">
        <f t="shared" si="2"/>
        <v>293882.65654793254</v>
      </c>
      <c r="V23" s="30"/>
      <c r="HF23"/>
      <c r="HG23"/>
    </row>
    <row r="24" spans="1:218" ht="15.75">
      <c r="A24" s="116"/>
      <c r="B24" s="122"/>
      <c r="C24" s="122"/>
      <c r="D24" s="122"/>
      <c r="E24" s="122"/>
      <c r="F24" s="122"/>
      <c r="G24" s="122"/>
      <c r="H24" s="122"/>
      <c r="I24" s="122"/>
      <c r="J24" s="122"/>
      <c r="K24" s="33"/>
      <c r="L24" s="33"/>
      <c r="M24" s="33"/>
      <c r="N24" s="33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33"/>
      <c r="HH24" s="2"/>
      <c r="HI24" s="2"/>
      <c r="HJ24" s="2"/>
    </row>
    <row r="25" spans="1:23" ht="15.75">
      <c r="A25" s="47"/>
      <c r="B25" s="379"/>
      <c r="C25" s="122"/>
      <c r="D25" s="66"/>
      <c r="E25" s="66"/>
      <c r="F25" s="68"/>
      <c r="G25" s="66"/>
      <c r="H25" s="30"/>
      <c r="K25" s="28"/>
      <c r="L25" s="66"/>
      <c r="S25" s="68"/>
      <c r="T25" s="68"/>
      <c r="U25" s="66"/>
      <c r="V25" s="66"/>
      <c r="W25" s="30"/>
    </row>
    <row r="26" spans="1:23" ht="15.75">
      <c r="A26" s="47"/>
      <c r="B26" s="66"/>
      <c r="C26" s="163"/>
      <c r="D26" s="380"/>
      <c r="E26" s="380"/>
      <c r="F26" s="68"/>
      <c r="G26" s="66"/>
      <c r="H26" s="30"/>
      <c r="K26" s="378"/>
      <c r="L26" s="66"/>
      <c r="S26" s="68"/>
      <c r="T26" s="68"/>
      <c r="U26" s="66"/>
      <c r="V26" s="66"/>
      <c r="W26" s="30"/>
    </row>
    <row r="27" spans="1:23" ht="19.5" customHeight="1">
      <c r="A27" s="47"/>
      <c r="B27" s="66"/>
      <c r="C27" s="66"/>
      <c r="D27" s="66"/>
      <c r="E27" s="66"/>
      <c r="F27" s="66"/>
      <c r="G27" s="66"/>
      <c r="H27" s="625"/>
      <c r="I27" s="625"/>
      <c r="J27" s="625"/>
      <c r="K27" s="28"/>
      <c r="L27" s="66"/>
      <c r="S27" s="66"/>
      <c r="T27" s="66"/>
      <c r="U27" s="66"/>
      <c r="V27" s="66"/>
      <c r="W27" s="30"/>
    </row>
    <row r="28" spans="1:23" ht="19.5" customHeight="1">
      <c r="A28" s="47"/>
      <c r="B28" s="66"/>
      <c r="C28" s="66"/>
      <c r="D28" s="66"/>
      <c r="E28" s="66"/>
      <c r="F28" s="66"/>
      <c r="G28" s="66"/>
      <c r="H28" s="625"/>
      <c r="I28" s="625"/>
      <c r="J28" s="625"/>
      <c r="K28" s="28"/>
      <c r="L28" s="66"/>
      <c r="S28" s="66"/>
      <c r="T28" s="66"/>
      <c r="U28" s="66"/>
      <c r="V28" s="66"/>
      <c r="W28" s="30"/>
    </row>
    <row r="29" spans="1:23" ht="19.5" customHeight="1">
      <c r="A29" s="47"/>
      <c r="B29" s="66"/>
      <c r="C29" s="66"/>
      <c r="D29" s="66"/>
      <c r="E29" s="66"/>
      <c r="F29" s="66"/>
      <c r="G29" s="66"/>
      <c r="H29" s="625"/>
      <c r="I29" s="625"/>
      <c r="J29" s="625"/>
      <c r="K29" s="28"/>
      <c r="L29" s="66"/>
      <c r="S29" s="66"/>
      <c r="T29" s="66"/>
      <c r="U29" s="66"/>
      <c r="V29" s="66"/>
      <c r="W29" s="30"/>
    </row>
    <row r="30" spans="1:23" ht="19.5" customHeight="1">
      <c r="A30" s="47"/>
      <c r="B30" s="66"/>
      <c r="C30" s="66"/>
      <c r="D30" s="66"/>
      <c r="E30" s="66"/>
      <c r="F30" s="66"/>
      <c r="G30" s="66"/>
      <c r="H30" s="625"/>
      <c r="I30" s="625"/>
      <c r="J30" s="625"/>
      <c r="K30" s="28"/>
      <c r="L30" s="66"/>
      <c r="S30" s="66"/>
      <c r="T30" s="66"/>
      <c r="U30" s="66"/>
      <c r="V30" s="66"/>
      <c r="W30" s="30"/>
    </row>
    <row r="31" spans="1:23" ht="19.5" customHeight="1">
      <c r="A31" s="47"/>
      <c r="B31" s="272"/>
      <c r="C31" s="66"/>
      <c r="D31" s="66"/>
      <c r="E31" s="658"/>
      <c r="F31" s="66"/>
      <c r="G31" s="66"/>
      <c r="H31" s="625"/>
      <c r="I31" s="625"/>
      <c r="J31" s="625"/>
      <c r="K31" s="28"/>
      <c r="L31" s="66"/>
      <c r="S31" s="66"/>
      <c r="T31" s="66"/>
      <c r="U31" s="66"/>
      <c r="V31" s="66"/>
      <c r="W31" s="30"/>
    </row>
    <row r="32" spans="1:23" ht="19.5" customHeight="1">
      <c r="A32" s="47"/>
      <c r="B32" s="66"/>
      <c r="C32" s="66"/>
      <c r="D32" s="66"/>
      <c r="E32" s="659"/>
      <c r="F32" s="66"/>
      <c r="G32" s="66"/>
      <c r="H32" s="625"/>
      <c r="I32" s="625"/>
      <c r="J32" s="625"/>
      <c r="K32" s="28"/>
      <c r="L32" s="66"/>
      <c r="S32" s="66"/>
      <c r="T32" s="66"/>
      <c r="U32" s="66"/>
      <c r="V32" s="66"/>
      <c r="W32" s="30"/>
    </row>
    <row r="33" spans="1:23" ht="19.5" customHeight="1">
      <c r="A33" s="47"/>
      <c r="B33" s="66"/>
      <c r="C33" s="660"/>
      <c r="D33" s="66"/>
      <c r="E33" s="607"/>
      <c r="F33" s="273"/>
      <c r="G33" s="66"/>
      <c r="H33" s="625"/>
      <c r="I33" s="625"/>
      <c r="J33" s="625"/>
      <c r="K33" s="28"/>
      <c r="L33" s="66"/>
      <c r="S33" s="273"/>
      <c r="T33" s="273"/>
      <c r="U33" s="66"/>
      <c r="V33" s="66"/>
      <c r="W33" s="30"/>
    </row>
    <row r="34" spans="1:23" ht="19.5" customHeight="1">
      <c r="A34" s="47"/>
      <c r="B34" s="66"/>
      <c r="C34" s="660"/>
      <c r="D34" s="66"/>
      <c r="E34" s="607"/>
      <c r="F34" s="68"/>
      <c r="G34" s="66"/>
      <c r="H34" s="625"/>
      <c r="I34" s="625"/>
      <c r="J34" s="625"/>
      <c r="K34" s="28"/>
      <c r="L34" s="66"/>
      <c r="S34" s="68"/>
      <c r="T34" s="68"/>
      <c r="U34" s="66"/>
      <c r="V34" s="66"/>
      <c r="W34" s="30"/>
    </row>
    <row r="35" spans="1:23" ht="19.5" customHeight="1">
      <c r="A35" s="47"/>
      <c r="B35" s="66"/>
      <c r="C35" s="660"/>
      <c r="D35" s="66"/>
      <c r="E35" s="67"/>
      <c r="F35" s="660"/>
      <c r="G35" s="66"/>
      <c r="H35" s="625"/>
      <c r="I35" s="625"/>
      <c r="J35" s="625"/>
      <c r="K35" s="28"/>
      <c r="L35" s="66"/>
      <c r="S35" s="68"/>
      <c r="T35" s="68"/>
      <c r="U35" s="66"/>
      <c r="V35" s="66"/>
      <c r="W35" s="30"/>
    </row>
    <row r="36" spans="1:23" ht="19.5" customHeight="1">
      <c r="A36" s="47"/>
      <c r="B36" s="66"/>
      <c r="C36" s="661"/>
      <c r="D36" s="66"/>
      <c r="E36" s="607"/>
      <c r="F36" s="660"/>
      <c r="G36" s="66"/>
      <c r="H36" s="625"/>
      <c r="I36" s="625"/>
      <c r="J36" s="625"/>
      <c r="K36" s="28"/>
      <c r="L36" s="66"/>
      <c r="S36" s="68"/>
      <c r="T36" s="68"/>
      <c r="U36" s="66"/>
      <c r="V36" s="66"/>
      <c r="W36" s="30"/>
    </row>
    <row r="37" spans="1:23" ht="19.5" customHeight="1">
      <c r="A37" s="47"/>
      <c r="B37" s="66"/>
      <c r="C37" s="66"/>
      <c r="D37" s="66"/>
      <c r="E37" s="67"/>
      <c r="F37" s="660"/>
      <c r="G37" s="66"/>
      <c r="H37" s="625"/>
      <c r="I37" s="625"/>
      <c r="J37" s="625"/>
      <c r="K37" s="28"/>
      <c r="L37" s="66"/>
      <c r="S37" s="68"/>
      <c r="T37" s="68"/>
      <c r="U37" s="66"/>
      <c r="V37" s="66"/>
      <c r="W37" s="30"/>
    </row>
    <row r="38" spans="1:23" ht="19.5" customHeight="1">
      <c r="A38" s="48"/>
      <c r="B38" s="66"/>
      <c r="C38" s="660"/>
      <c r="D38" s="68"/>
      <c r="E38" s="607"/>
      <c r="F38" s="619"/>
      <c r="G38" s="66"/>
      <c r="H38" s="625"/>
      <c r="I38" s="625"/>
      <c r="J38" s="625"/>
      <c r="K38" s="28"/>
      <c r="L38" s="66"/>
      <c r="S38" s="68"/>
      <c r="T38" s="68"/>
      <c r="U38" s="66"/>
      <c r="V38" s="66"/>
      <c r="W38" s="30"/>
    </row>
    <row r="39" spans="1:23" ht="19.5" customHeight="1">
      <c r="A39" s="122"/>
      <c r="B39" s="621"/>
      <c r="C39" s="66"/>
      <c r="D39" s="66"/>
      <c r="E39" s="607"/>
      <c r="F39" s="619"/>
      <c r="G39" s="66"/>
      <c r="H39" s="625"/>
      <c r="I39" s="625"/>
      <c r="J39" s="625"/>
      <c r="K39" s="28"/>
      <c r="L39" s="66"/>
      <c r="S39" s="68"/>
      <c r="T39" s="68"/>
      <c r="U39" s="66"/>
      <c r="V39" s="66"/>
      <c r="W39" s="30"/>
    </row>
    <row r="40" spans="1:23" ht="15.75">
      <c r="A40" s="122"/>
      <c r="B40" s="66"/>
      <c r="C40" s="66"/>
      <c r="D40" s="66"/>
      <c r="E40" s="66"/>
      <c r="F40" s="68"/>
      <c r="G40" s="605"/>
      <c r="H40" s="625"/>
      <c r="I40" s="625"/>
      <c r="J40" s="625"/>
      <c r="K40" s="378"/>
      <c r="L40" s="68"/>
      <c r="M40" s="272"/>
      <c r="N40" s="66"/>
      <c r="O40" s="68"/>
      <c r="P40" s="68"/>
      <c r="Q40" s="68"/>
      <c r="R40" s="68"/>
      <c r="S40" s="68"/>
      <c r="T40" s="68"/>
      <c r="U40" s="66"/>
      <c r="V40" s="68"/>
      <c r="W40" s="31"/>
    </row>
    <row r="41" spans="1:10" ht="15.75">
      <c r="A41" s="122"/>
      <c r="B41" s="66"/>
      <c r="C41" s="66"/>
      <c r="D41" s="66"/>
      <c r="E41" s="66"/>
      <c r="F41" s="66"/>
      <c r="G41" s="30"/>
      <c r="H41" s="30"/>
      <c r="I41" s="30"/>
      <c r="J41" s="30"/>
    </row>
  </sheetData>
  <mergeCells count="1">
    <mergeCell ref="B16:D16"/>
  </mergeCells>
  <printOptions/>
  <pageMargins left="0.24" right="0.22" top="0.45" bottom="1" header="0.4921259845" footer="0.4921259845"/>
  <pageSetup horizontalDpi="300" verticalDpi="3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J41"/>
  <sheetViews>
    <sheetView workbookViewId="0" topLeftCell="A1">
      <selection activeCell="B4" sqref="B4"/>
    </sheetView>
  </sheetViews>
  <sheetFormatPr defaultColWidth="11.421875" defaultRowHeight="12.75"/>
  <cols>
    <col min="1" max="1" width="23.8515625" style="1" customWidth="1"/>
    <col min="2" max="2" width="8.7109375" style="2" customWidth="1"/>
    <col min="3" max="3" width="9.28125" style="2" customWidth="1"/>
    <col min="4" max="4" width="12.8515625" style="2" customWidth="1"/>
    <col min="5" max="5" width="13.7109375" style="2" customWidth="1"/>
    <col min="6" max="6" width="11.140625" style="2" customWidth="1"/>
    <col min="7" max="8" width="14.28125" style="2" customWidth="1"/>
    <col min="9" max="9" width="12.421875" style="2" customWidth="1"/>
    <col min="10" max="10" width="11.00390625" style="2" customWidth="1"/>
    <col min="11" max="11" width="12.7109375" style="2" customWidth="1"/>
    <col min="12" max="12" width="11.57421875" style="2" customWidth="1"/>
    <col min="13" max="13" width="11.8515625" style="2" customWidth="1"/>
    <col min="14" max="14" width="12.28125" style="2" customWidth="1"/>
    <col min="15" max="15" width="10.28125" style="2" customWidth="1"/>
    <col min="16" max="16" width="11.8515625" style="2" customWidth="1"/>
    <col min="17" max="17" width="12.421875" style="2" customWidth="1"/>
    <col min="18" max="18" width="14.140625" style="2" customWidth="1"/>
    <col min="19" max="20" width="14.00390625" style="2" customWidth="1"/>
    <col min="21" max="21" width="17.28125" style="2" customWidth="1"/>
    <col min="22" max="22" width="10.140625" style="2" customWidth="1"/>
    <col min="23" max="23" width="15.28125" style="2" customWidth="1"/>
    <col min="24" max="215" width="11.421875" style="2" customWidth="1"/>
  </cols>
  <sheetData>
    <row r="1" spans="1:2" ht="18">
      <c r="A1" s="4"/>
      <c r="B1" s="373" t="s">
        <v>159</v>
      </c>
    </row>
    <row r="2" spans="1:12" ht="18">
      <c r="A2" s="4"/>
      <c r="B2" s="374" t="s">
        <v>187</v>
      </c>
      <c r="K2" s="478"/>
      <c r="L2" s="479"/>
    </row>
    <row r="3" spans="1:12" ht="18">
      <c r="A3" s="4"/>
      <c r="B3" s="374" t="s">
        <v>184</v>
      </c>
      <c r="K3" s="458"/>
      <c r="L3" s="458"/>
    </row>
    <row r="4" spans="2:24" ht="15.75">
      <c r="B4" s="374" t="s">
        <v>196</v>
      </c>
      <c r="X4" s="66"/>
    </row>
    <row r="5" spans="1:2" ht="18">
      <c r="A5" s="4"/>
      <c r="B5" s="374" t="s">
        <v>195</v>
      </c>
    </row>
    <row r="6" spans="1:2" ht="18">
      <c r="A6" s="4"/>
      <c r="B6" s="374" t="s">
        <v>121</v>
      </c>
    </row>
    <row r="7" spans="2:24" ht="15.75">
      <c r="B7" s="374" t="s">
        <v>115</v>
      </c>
      <c r="H7" s="518">
        <v>50</v>
      </c>
      <c r="I7" s="479" t="s">
        <v>64</v>
      </c>
      <c r="X7" s="25"/>
    </row>
    <row r="8" spans="2:218" ht="16.5" thickBot="1">
      <c r="B8" s="39"/>
      <c r="C8" s="39"/>
      <c r="D8" s="39"/>
      <c r="E8" s="39"/>
      <c r="F8" s="39"/>
      <c r="G8" s="39"/>
      <c r="H8" s="48"/>
      <c r="I8" s="48"/>
      <c r="J8" s="48"/>
      <c r="K8" s="412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66"/>
      <c r="AB8" s="30"/>
      <c r="HH8" s="2"/>
      <c r="HI8" s="2"/>
      <c r="HJ8" s="2"/>
    </row>
    <row r="9" spans="1:215" ht="15.75">
      <c r="A9" s="47"/>
      <c r="B9" s="578" t="s">
        <v>133</v>
      </c>
      <c r="C9" s="125"/>
      <c r="D9" s="714"/>
      <c r="E9" s="578" t="s">
        <v>134</v>
      </c>
      <c r="F9" s="125"/>
      <c r="G9" s="125"/>
      <c r="H9" s="126"/>
      <c r="I9" s="449" t="s">
        <v>132</v>
      </c>
      <c r="J9" s="435"/>
      <c r="K9" s="436"/>
      <c r="L9" s="600" t="s">
        <v>136</v>
      </c>
      <c r="M9" s="594"/>
      <c r="N9" s="601"/>
      <c r="O9" s="414" t="s">
        <v>38</v>
      </c>
      <c r="P9" s="414"/>
      <c r="Q9" s="414"/>
      <c r="R9" s="550" t="s">
        <v>98</v>
      </c>
      <c r="S9" s="449" t="s">
        <v>16</v>
      </c>
      <c r="T9" s="435"/>
      <c r="U9" s="436"/>
      <c r="V9" s="26"/>
      <c r="HF9"/>
      <c r="HG9"/>
    </row>
    <row r="10" spans="1:215" ht="15.75">
      <c r="A10" s="47"/>
      <c r="B10" s="127"/>
      <c r="C10" s="122"/>
      <c r="D10" s="580"/>
      <c r="E10" s="626"/>
      <c r="F10" s="122"/>
      <c r="G10" s="122"/>
      <c r="H10" s="580"/>
      <c r="I10" s="437"/>
      <c r="J10" s="593"/>
      <c r="K10" s="445"/>
      <c r="L10" s="706" t="s">
        <v>157</v>
      </c>
      <c r="M10" s="141"/>
      <c r="N10" s="41"/>
      <c r="O10" s="596"/>
      <c r="P10" s="408"/>
      <c r="Q10" s="409"/>
      <c r="R10" s="551" t="s">
        <v>99</v>
      </c>
      <c r="S10" s="437"/>
      <c r="T10" s="25"/>
      <c r="U10" s="450"/>
      <c r="HF10"/>
      <c r="HG10"/>
    </row>
    <row r="11" spans="1:215" ht="48" thickBot="1">
      <c r="A11" s="115"/>
      <c r="B11" s="416" t="s">
        <v>3</v>
      </c>
      <c r="C11" s="410" t="s">
        <v>14</v>
      </c>
      <c r="D11" s="581" t="s">
        <v>40</v>
      </c>
      <c r="E11" s="416" t="s">
        <v>3</v>
      </c>
      <c r="F11" s="410" t="s">
        <v>14</v>
      </c>
      <c r="G11" s="404" t="s">
        <v>40</v>
      </c>
      <c r="H11" s="430" t="s">
        <v>116</v>
      </c>
      <c r="I11" s="54" t="s">
        <v>3</v>
      </c>
      <c r="J11" s="46" t="s">
        <v>14</v>
      </c>
      <c r="K11" s="603" t="s">
        <v>40</v>
      </c>
      <c r="L11" s="595" t="s">
        <v>3</v>
      </c>
      <c r="M11" s="46" t="s">
        <v>14</v>
      </c>
      <c r="N11" s="581" t="s">
        <v>40</v>
      </c>
      <c r="O11" s="597" t="s">
        <v>3</v>
      </c>
      <c r="P11" s="410" t="s">
        <v>14</v>
      </c>
      <c r="Q11" s="425" t="s">
        <v>40</v>
      </c>
      <c r="R11" s="552"/>
      <c r="S11" s="54" t="s">
        <v>3</v>
      </c>
      <c r="T11" s="46" t="s">
        <v>14</v>
      </c>
      <c r="U11" s="521" t="s">
        <v>120</v>
      </c>
      <c r="HF11"/>
      <c r="HG11"/>
    </row>
    <row r="12" spans="1:215" ht="20.25" customHeight="1">
      <c r="A12" s="120" t="s">
        <v>43</v>
      </c>
      <c r="B12" s="690">
        <f>Daten!C8</f>
        <v>61</v>
      </c>
      <c r="C12" s="411">
        <f>Daten!D8</f>
        <v>4</v>
      </c>
      <c r="D12" s="582">
        <f>Daten!B33</f>
        <v>16722.7129</v>
      </c>
      <c r="E12" s="417">
        <f>Daten!O8</f>
        <v>67</v>
      </c>
      <c r="F12" s="411">
        <f>Daten!P8</f>
        <v>4</v>
      </c>
      <c r="G12" s="44">
        <f>Daten!R33</f>
        <v>46841.1465</v>
      </c>
      <c r="H12" s="431">
        <f>G12</f>
        <v>46841.1465</v>
      </c>
      <c r="I12" s="54">
        <f>Daten!F8</f>
        <v>106</v>
      </c>
      <c r="J12" s="46">
        <f>Daten!G8</f>
        <v>6</v>
      </c>
      <c r="K12" s="422">
        <f>Daten!F33</f>
        <v>31083.53695</v>
      </c>
      <c r="L12" s="704">
        <f>Daten!I8</f>
        <v>104</v>
      </c>
      <c r="M12" s="46">
        <f>Daten!J8</f>
        <v>5</v>
      </c>
      <c r="N12" s="582">
        <f>Daten!J33</f>
        <v>35757.511</v>
      </c>
      <c r="O12" s="598">
        <f>Daten!L8</f>
        <v>141</v>
      </c>
      <c r="P12" s="411">
        <f>Daten!M8</f>
        <v>6</v>
      </c>
      <c r="Q12" s="426">
        <f>Daten!N33</f>
        <v>75102.2875</v>
      </c>
      <c r="R12" s="553"/>
      <c r="S12" s="451"/>
      <c r="T12" s="406"/>
      <c r="U12" s="452"/>
      <c r="HF12"/>
      <c r="HG12"/>
    </row>
    <row r="13" spans="1:215" ht="20.25" customHeight="1">
      <c r="A13" s="121" t="s">
        <v>44</v>
      </c>
      <c r="B13" s="690">
        <f>Daten!C9</f>
        <v>59</v>
      </c>
      <c r="C13" s="411">
        <f>Daten!D9</f>
        <v>4</v>
      </c>
      <c r="D13" s="582">
        <f>Daten!B34</f>
        <v>17029.7022385</v>
      </c>
      <c r="E13" s="417">
        <f>Daten!O9</f>
        <v>67</v>
      </c>
      <c r="F13" s="411">
        <f>Daten!P9</f>
        <v>4</v>
      </c>
      <c r="G13" s="44">
        <f>Daten!R34</f>
        <v>47426.5200225</v>
      </c>
      <c r="H13" s="431">
        <f>G13</f>
        <v>47426.5200225</v>
      </c>
      <c r="I13" s="54">
        <f>Daten!F9</f>
        <v>102</v>
      </c>
      <c r="J13" s="46">
        <f>Daten!G9</f>
        <v>5</v>
      </c>
      <c r="K13" s="422">
        <f>Daten!F34</f>
        <v>31486.220851749997</v>
      </c>
      <c r="L13" s="704">
        <f>Daten!I9</f>
        <v>93</v>
      </c>
      <c r="M13" s="46">
        <f>Daten!J9</f>
        <v>5</v>
      </c>
      <c r="N13" s="582">
        <f>Daten!J34</f>
        <v>36108.440214999995</v>
      </c>
      <c r="O13" s="598">
        <f>Daten!L9</f>
        <v>136</v>
      </c>
      <c r="P13" s="411">
        <f>Daten!M9</f>
        <v>7</v>
      </c>
      <c r="Q13" s="426">
        <f>Daten!N34</f>
        <v>76245.0191875</v>
      </c>
      <c r="R13" s="553"/>
      <c r="S13" s="453"/>
      <c r="T13" s="406"/>
      <c r="U13" s="454"/>
      <c r="HF13"/>
      <c r="HG13"/>
    </row>
    <row r="14" spans="1:215" ht="20.25" customHeight="1">
      <c r="A14" s="121" t="s">
        <v>45</v>
      </c>
      <c r="B14" s="690">
        <f>Daten!C10</f>
        <v>61</v>
      </c>
      <c r="C14" s="411">
        <f>Daten!D10</f>
        <v>4</v>
      </c>
      <c r="D14" s="582">
        <f>Daten!B35</f>
        <v>17356.645884002497</v>
      </c>
      <c r="E14" s="417">
        <f>Daten!O10</f>
        <v>65</v>
      </c>
      <c r="F14" s="411">
        <f>Daten!P10</f>
        <v>4</v>
      </c>
      <c r="G14" s="44">
        <f>Daten!R35</f>
        <v>48049.9428239625</v>
      </c>
      <c r="H14" s="431">
        <f>G14</f>
        <v>48049.9428239625</v>
      </c>
      <c r="I14" s="54">
        <f>Daten!F10</f>
        <v>97</v>
      </c>
      <c r="J14" s="46">
        <f>Daten!G10</f>
        <v>5</v>
      </c>
      <c r="K14" s="422">
        <f>Daten!F35</f>
        <v>31915.079207113744</v>
      </c>
      <c r="L14" s="704">
        <f>Daten!I10</f>
        <v>76</v>
      </c>
      <c r="M14" s="46">
        <f>Daten!J10</f>
        <v>4</v>
      </c>
      <c r="N14" s="582">
        <f>Daten!J35</f>
        <v>36482.17982897499</v>
      </c>
      <c r="O14" s="598">
        <f>Daten!L10</f>
        <v>124</v>
      </c>
      <c r="P14" s="411">
        <f>Daten!M10</f>
        <v>7</v>
      </c>
      <c r="Q14" s="426">
        <f>Daten!N35-$K$2</f>
        <v>77462.0284346875</v>
      </c>
      <c r="R14" s="554">
        <f>Daten!$F$86</f>
        <v>8500</v>
      </c>
      <c r="S14" s="709">
        <f>L14+I14+O14+E14+B14</f>
        <v>423</v>
      </c>
      <c r="T14" s="405">
        <f>M14+J14+P14+F14+C14</f>
        <v>24</v>
      </c>
      <c r="U14" s="455">
        <f>Q14+N14+K14+H14+D14</f>
        <v>211265.87617874122</v>
      </c>
      <c r="HF14"/>
      <c r="HG14"/>
    </row>
    <row r="15" spans="1:215" ht="20.25" customHeight="1">
      <c r="A15" s="121" t="s">
        <v>46</v>
      </c>
      <c r="B15" s="690">
        <f>Daten!C11+Daten!O11/3*2</f>
        <v>90</v>
      </c>
      <c r="C15" s="411">
        <v>4</v>
      </c>
      <c r="D15" s="582">
        <f>Daten!B36</f>
        <v>17704.840866462662</v>
      </c>
      <c r="E15" s="700" t="s">
        <v>198</v>
      </c>
      <c r="F15" s="702"/>
      <c r="G15" s="702"/>
      <c r="H15" s="703"/>
      <c r="I15" s="54">
        <f>Daten!F11-5+Daten!O11/3</f>
        <v>100</v>
      </c>
      <c r="J15" s="46">
        <v>5</v>
      </c>
      <c r="K15" s="422">
        <f>Daten!F36</f>
        <v>32371.813355576134</v>
      </c>
      <c r="L15" s="704">
        <f>Daten!I11+5</f>
        <v>80</v>
      </c>
      <c r="M15" s="46">
        <v>4</v>
      </c>
      <c r="N15" s="582">
        <f>Daten!J36</f>
        <v>36880.21251785837</v>
      </c>
      <c r="O15" s="598">
        <f>Daten!L11</f>
        <v>110</v>
      </c>
      <c r="P15" s="411">
        <f>Daten!M11</f>
        <v>6</v>
      </c>
      <c r="Q15" s="426">
        <f>Daten!N36-$K$2</f>
        <v>78758.14328294218</v>
      </c>
      <c r="R15" s="554">
        <f>Daten!$F$86</f>
        <v>8500</v>
      </c>
      <c r="S15" s="709">
        <f>L15+I15+O15+B15</f>
        <v>380</v>
      </c>
      <c r="T15" s="405">
        <f>M15+J15+P15+C15</f>
        <v>19</v>
      </c>
      <c r="U15" s="455">
        <f aca="true" t="shared" si="0" ref="U15:U23">Q15+N15+K15+H15+D15</f>
        <v>165715.01002283936</v>
      </c>
      <c r="HF15"/>
      <c r="HG15"/>
    </row>
    <row r="16" spans="1:215" ht="20.25" customHeight="1">
      <c r="A16" s="121" t="s">
        <v>47</v>
      </c>
      <c r="B16" s="690">
        <f>Daten!C12+Daten!O12/3*2</f>
        <v>84.66666666666666</v>
      </c>
      <c r="C16" s="411">
        <v>4</v>
      </c>
      <c r="D16" s="582">
        <f>Daten!B37</f>
        <v>18075.668522782733</v>
      </c>
      <c r="E16" s="417"/>
      <c r="F16" s="411"/>
      <c r="G16" s="44"/>
      <c r="H16" s="431"/>
      <c r="I16" s="421">
        <f>Daten!F12-7+Daten!O12/3</f>
        <v>86.33333333333333</v>
      </c>
      <c r="J16" s="46">
        <v>4</v>
      </c>
      <c r="K16" s="422">
        <f>Daten!F37</f>
        <v>32858.23522368858</v>
      </c>
      <c r="L16" s="704">
        <f>Daten!I12+7</f>
        <v>77</v>
      </c>
      <c r="M16" s="46">
        <v>4</v>
      </c>
      <c r="N16" s="582">
        <f>Daten!J37</f>
        <v>37304.117331519155</v>
      </c>
      <c r="O16" s="598">
        <f>Daten!L12</f>
        <v>113</v>
      </c>
      <c r="P16" s="411">
        <f>Daten!M12</f>
        <v>6</v>
      </c>
      <c r="Q16" s="426">
        <f>Daten!N37-$K$2</f>
        <v>80138.50559633343</v>
      </c>
      <c r="R16" s="554">
        <f>Daten!$F$86+Daten!$J$86</f>
        <v>19600</v>
      </c>
      <c r="S16" s="709">
        <f aca="true" t="shared" si="1" ref="S16:T23">L16+I16+O16+B16</f>
        <v>361</v>
      </c>
      <c r="T16" s="405">
        <f t="shared" si="1"/>
        <v>18</v>
      </c>
      <c r="U16" s="455">
        <f t="shared" si="0"/>
        <v>168376.5266743239</v>
      </c>
      <c r="HF16"/>
      <c r="HG16"/>
    </row>
    <row r="17" spans="1:213" s="70" customFormat="1" ht="20.25" customHeight="1">
      <c r="A17" s="121" t="s">
        <v>48</v>
      </c>
      <c r="B17" s="690">
        <f>Daten!C13+Daten!O13/3*2</f>
        <v>76.33333333333333</v>
      </c>
      <c r="C17" s="411">
        <v>4</v>
      </c>
      <c r="D17" s="582">
        <f>Daten!B38</f>
        <v>18470.59997676361</v>
      </c>
      <c r="E17" s="417"/>
      <c r="F17" s="411"/>
      <c r="G17" s="44"/>
      <c r="H17" s="431"/>
      <c r="I17" s="421">
        <f>Daten!F13-3+Daten!O13/3</f>
        <v>80.66666666666667</v>
      </c>
      <c r="J17" s="46">
        <v>4</v>
      </c>
      <c r="K17" s="422">
        <f>Daten!F38</f>
        <v>33376.27451322834</v>
      </c>
      <c r="L17" s="704">
        <f>Daten!I13+3</f>
        <v>70</v>
      </c>
      <c r="M17" s="46">
        <v>4</v>
      </c>
      <c r="N17" s="582">
        <f>Daten!J38</f>
        <v>37755.5759580679</v>
      </c>
      <c r="O17" s="598">
        <f>Daten!L13</f>
        <v>102</v>
      </c>
      <c r="P17" s="411">
        <f>Daten!M13</f>
        <v>5</v>
      </c>
      <c r="Q17" s="426">
        <f>Daten!N38-$K$2</f>
        <v>81608.59146009511</v>
      </c>
      <c r="R17" s="554">
        <f>Daten!$F$86+Daten!$J$86</f>
        <v>19600</v>
      </c>
      <c r="S17" s="709">
        <f t="shared" si="1"/>
        <v>329</v>
      </c>
      <c r="T17" s="405">
        <f t="shared" si="1"/>
        <v>17</v>
      </c>
      <c r="U17" s="455">
        <f t="shared" si="0"/>
        <v>171211.04190815496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</row>
    <row r="18" spans="1:213" s="70" customFormat="1" ht="20.25" customHeight="1" thickBot="1">
      <c r="A18" s="641" t="s">
        <v>147</v>
      </c>
      <c r="B18" s="691">
        <f>Daten!C14+Daten!O14/3*2</f>
        <v>71.66666666666667</v>
      </c>
      <c r="C18" s="419">
        <v>4</v>
      </c>
      <c r="D18" s="583">
        <f>Daten!B39</f>
        <v>18891.201975253247</v>
      </c>
      <c r="E18" s="418"/>
      <c r="F18" s="419"/>
      <c r="G18" s="446"/>
      <c r="H18" s="432"/>
      <c r="I18" s="423">
        <f>Daten!F14-3+Daten!O14/3</f>
        <v>74.33333333333333</v>
      </c>
      <c r="J18" s="183">
        <v>4</v>
      </c>
      <c r="K18" s="604">
        <f>Daten!F39</f>
        <v>33927.98635658818</v>
      </c>
      <c r="L18" s="705">
        <f>Daten!I14+3</f>
        <v>64</v>
      </c>
      <c r="M18" s="183">
        <v>4</v>
      </c>
      <c r="N18" s="583">
        <f>Daten!J39</f>
        <v>38236.379395342316</v>
      </c>
      <c r="O18" s="599">
        <f>Daten!L14</f>
        <v>98</v>
      </c>
      <c r="P18" s="419">
        <f>Daten!M14</f>
        <v>4</v>
      </c>
      <c r="Q18" s="427">
        <f>Daten!N39-$K$2</f>
        <v>83174.23290500129</v>
      </c>
      <c r="R18" s="555">
        <f>Daten!$F$86+Daten!$J$86</f>
        <v>19600</v>
      </c>
      <c r="S18" s="710">
        <f t="shared" si="1"/>
        <v>308</v>
      </c>
      <c r="T18" s="424">
        <f t="shared" si="1"/>
        <v>16</v>
      </c>
      <c r="U18" s="456">
        <f t="shared" si="0"/>
        <v>174229.800632185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</row>
    <row r="19" spans="1:213" s="69" customFormat="1" ht="20.25" customHeight="1" thickBot="1">
      <c r="A19" s="122" t="s">
        <v>7</v>
      </c>
      <c r="B19" s="713"/>
      <c r="C19" s="122"/>
      <c r="D19" s="558"/>
      <c r="E19" s="606"/>
      <c r="F19" s="122"/>
      <c r="G19" s="701"/>
      <c r="H19" s="67"/>
      <c r="I19" s="695"/>
      <c r="J19" s="68"/>
      <c r="K19" s="696"/>
      <c r="L19" s="68"/>
      <c r="M19" s="68"/>
      <c r="N19" s="592"/>
      <c r="O19" s="608"/>
      <c r="P19" s="608"/>
      <c r="Q19" s="592"/>
      <c r="R19" s="628"/>
      <c r="S19" s="608"/>
      <c r="T19" s="608"/>
      <c r="U19" s="609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</row>
    <row r="20" spans="1:213" s="72" customFormat="1" ht="20.25" customHeight="1">
      <c r="A20" s="584" t="s">
        <v>49</v>
      </c>
      <c r="B20" s="590">
        <f>Daten!C16+Daten!O16/3*2</f>
        <v>68.14343551185655</v>
      </c>
      <c r="C20" s="420">
        <v>4</v>
      </c>
      <c r="D20" s="591">
        <f>Daten!B41</f>
        <v>21441.617938530566</v>
      </c>
      <c r="E20" s="587"/>
      <c r="F20" s="420"/>
      <c r="G20" s="447"/>
      <c r="H20" s="627"/>
      <c r="I20" s="587">
        <f>Daten!F16-3+Daten!O16/3</f>
        <v>70.53152111046847</v>
      </c>
      <c r="J20" s="420">
        <v>4</v>
      </c>
      <c r="K20" s="591">
        <f>Daten!F41</f>
        <v>37273.41670995531</v>
      </c>
      <c r="L20" s="587">
        <f>Daten!I16+3</f>
        <v>61.00115673799885</v>
      </c>
      <c r="M20" s="420">
        <v>4</v>
      </c>
      <c r="N20" s="591">
        <f>Daten!J41</f>
        <v>41151.84048688891</v>
      </c>
      <c r="O20" s="587">
        <f>Daten!L16</f>
        <v>93.18218623481782</v>
      </c>
      <c r="P20" s="420">
        <f>Daten!M16</f>
        <v>4</v>
      </c>
      <c r="Q20" s="567">
        <f>Daten!N41-$K$2</f>
        <v>92667.8562073064</v>
      </c>
      <c r="R20" s="630">
        <f>Daten!$F$86+Daten!$J$86</f>
        <v>19600</v>
      </c>
      <c r="S20" s="707">
        <f t="shared" si="1"/>
        <v>292.8582995951417</v>
      </c>
      <c r="T20" s="420">
        <f t="shared" si="1"/>
        <v>16</v>
      </c>
      <c r="U20" s="457">
        <f t="shared" si="0"/>
        <v>192534.7313426812</v>
      </c>
      <c r="V20" s="60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1:215" ht="20.25" customHeight="1">
      <c r="A21" s="585" t="s">
        <v>50</v>
      </c>
      <c r="B21" s="417">
        <f>Daten!C17+Daten!O17/3*2</f>
        <v>65.49064970117601</v>
      </c>
      <c r="C21" s="405">
        <v>4</v>
      </c>
      <c r="D21" s="582">
        <f>Daten!B42</f>
        <v>29723.390192668034</v>
      </c>
      <c r="E21" s="588"/>
      <c r="F21" s="405"/>
      <c r="G21" s="44"/>
      <c r="H21" s="431"/>
      <c r="I21" s="588">
        <f>Daten!F17-3+Daten!O17/3</f>
        <v>67.66898014266435</v>
      </c>
      <c r="J21" s="405">
        <v>4</v>
      </c>
      <c r="K21" s="582">
        <f>Daten!F42</f>
        <v>48136.77887424417</v>
      </c>
      <c r="L21" s="588">
        <f>Daten!I17+3</f>
        <v>58.743204164256795</v>
      </c>
      <c r="M21" s="405">
        <v>4</v>
      </c>
      <c r="N21" s="582">
        <f>Daten!J42</f>
        <v>50618.996089601285</v>
      </c>
      <c r="O21" s="588">
        <f>Daten!L17</f>
        <v>89.55465587044534</v>
      </c>
      <c r="P21" s="405">
        <f>Daten!M17</f>
        <v>4</v>
      </c>
      <c r="Q21" s="566">
        <f>Daten!N42-$K$2</f>
        <v>123495.7788631975</v>
      </c>
      <c r="R21" s="554">
        <f>Daten!$F$86+Daten!$J$86</f>
        <v>19600</v>
      </c>
      <c r="S21" s="709">
        <f t="shared" si="1"/>
        <v>281.4574898785425</v>
      </c>
      <c r="T21" s="405">
        <f t="shared" si="1"/>
        <v>16</v>
      </c>
      <c r="U21" s="455">
        <f t="shared" si="0"/>
        <v>251974.944019711</v>
      </c>
      <c r="V21" s="30"/>
      <c r="HF21"/>
      <c r="HG21"/>
    </row>
    <row r="22" spans="1:215" ht="20.25" customHeight="1">
      <c r="A22" s="585" t="s">
        <v>51</v>
      </c>
      <c r="B22" s="417">
        <f>Daten!C18+Daten!O18/3*2</f>
        <v>57.53229226913437</v>
      </c>
      <c r="C22" s="405">
        <v>4</v>
      </c>
      <c r="D22" s="582">
        <f>Daten!B43</f>
        <v>29723.390192668034</v>
      </c>
      <c r="E22" s="588"/>
      <c r="F22" s="405"/>
      <c r="G22" s="407"/>
      <c r="H22" s="431"/>
      <c r="I22" s="588">
        <f>Daten!F18-3+Daten!O18/3</f>
        <v>59.08135723925198</v>
      </c>
      <c r="J22" s="405">
        <v>4</v>
      </c>
      <c r="K22" s="582">
        <f>Daten!F43</f>
        <v>48136.77887424417</v>
      </c>
      <c r="L22" s="588">
        <f>Daten!I18+3</f>
        <v>51.96934644303066</v>
      </c>
      <c r="M22" s="405">
        <v>3</v>
      </c>
      <c r="N22" s="582">
        <f>Daten!J43</f>
        <v>50618.996089601285</v>
      </c>
      <c r="O22" s="588">
        <f>Daten!L18</f>
        <v>78.67206477732795</v>
      </c>
      <c r="P22" s="405">
        <f>Daten!M18</f>
        <v>4</v>
      </c>
      <c r="Q22" s="566">
        <f>Daten!N43-$K$2</f>
        <v>123495.7788631975</v>
      </c>
      <c r="R22" s="554">
        <f>Daten!$F$86+Daten!$J$86</f>
        <v>19600</v>
      </c>
      <c r="S22" s="709">
        <f t="shared" si="1"/>
        <v>247.25506072874492</v>
      </c>
      <c r="T22" s="405">
        <f t="shared" si="1"/>
        <v>15</v>
      </c>
      <c r="U22" s="455">
        <f t="shared" si="0"/>
        <v>251974.944019711</v>
      </c>
      <c r="V22" s="30"/>
      <c r="HF22"/>
      <c r="HG22"/>
    </row>
    <row r="23" spans="1:215" ht="20.25" customHeight="1" thickBot="1">
      <c r="A23" s="586" t="s">
        <v>52</v>
      </c>
      <c r="B23" s="418">
        <f>Daten!C19+Daten!O19/3*2</f>
        <v>52.06092153460574</v>
      </c>
      <c r="C23" s="424">
        <v>3</v>
      </c>
      <c r="D23" s="583">
        <f>Daten!B44</f>
        <v>29723.390192668034</v>
      </c>
      <c r="E23" s="589"/>
      <c r="F23" s="424"/>
      <c r="G23" s="448"/>
      <c r="H23" s="432"/>
      <c r="I23" s="589">
        <f>Daten!F19-3+Daten!O19/3</f>
        <v>53.177366493155965</v>
      </c>
      <c r="J23" s="424">
        <v>3</v>
      </c>
      <c r="K23" s="583">
        <f>Daten!F44</f>
        <v>48136.77887424417</v>
      </c>
      <c r="L23" s="589">
        <f>Daten!I19+3</f>
        <v>47.31231925968768</v>
      </c>
      <c r="M23" s="424">
        <v>2</v>
      </c>
      <c r="N23" s="583">
        <f>Daten!J44</f>
        <v>50618.996089601285</v>
      </c>
      <c r="O23" s="589">
        <f>Daten!L19</f>
        <v>71.19028340080972</v>
      </c>
      <c r="P23" s="424">
        <f>Daten!M19</f>
        <v>4</v>
      </c>
      <c r="Q23" s="570">
        <f>Daten!N44-$K$2</f>
        <v>123495.7788631975</v>
      </c>
      <c r="R23" s="555">
        <f>Daten!$F$86+Daten!$J$86</f>
        <v>19600</v>
      </c>
      <c r="S23" s="710">
        <f t="shared" si="1"/>
        <v>223.7408906882591</v>
      </c>
      <c r="T23" s="424">
        <f t="shared" si="1"/>
        <v>12</v>
      </c>
      <c r="U23" s="456">
        <f t="shared" si="0"/>
        <v>251974.944019711</v>
      </c>
      <c r="V23" s="30"/>
      <c r="HF23"/>
      <c r="HG23"/>
    </row>
    <row r="24" spans="1:218" ht="15.75">
      <c r="A24" s="116"/>
      <c r="B24" s="122"/>
      <c r="C24" s="122"/>
      <c r="D24" s="122"/>
      <c r="E24" s="122"/>
      <c r="F24" s="122"/>
      <c r="G24" s="122"/>
      <c r="H24" s="122"/>
      <c r="I24" s="122"/>
      <c r="J24" s="122"/>
      <c r="K24" s="33"/>
      <c r="L24" s="33"/>
      <c r="M24" s="33"/>
      <c r="N24" s="33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33"/>
      <c r="HH24" s="2"/>
      <c r="HI24" s="2"/>
      <c r="HJ24" s="2"/>
    </row>
    <row r="25" spans="1:23" ht="15.75">
      <c r="A25" s="47"/>
      <c r="B25" s="379"/>
      <c r="C25" s="122"/>
      <c r="D25" s="66"/>
      <c r="E25" s="66"/>
      <c r="F25" s="68"/>
      <c r="G25" s="66"/>
      <c r="H25" s="30"/>
      <c r="K25" s="28"/>
      <c r="L25" s="66"/>
      <c r="S25" s="68"/>
      <c r="T25" s="68"/>
      <c r="U25" s="66"/>
      <c r="V25" s="66"/>
      <c r="W25" s="30"/>
    </row>
    <row r="26" spans="1:23" ht="15.75">
      <c r="A26" s="47"/>
      <c r="B26" s="66"/>
      <c r="C26" s="163"/>
      <c r="D26" s="380"/>
      <c r="E26" s="380"/>
      <c r="F26" s="68"/>
      <c r="G26" s="66"/>
      <c r="H26" s="30"/>
      <c r="K26" s="378"/>
      <c r="L26" s="66"/>
      <c r="S26" s="68"/>
      <c r="T26" s="68"/>
      <c r="U26" s="66"/>
      <c r="V26" s="66"/>
      <c r="W26" s="30"/>
    </row>
    <row r="27" spans="1:23" ht="19.5" customHeight="1">
      <c r="A27" s="47"/>
      <c r="B27" s="66"/>
      <c r="C27" s="66"/>
      <c r="D27" s="66"/>
      <c r="E27" s="66"/>
      <c r="F27" s="66"/>
      <c r="G27" s="66"/>
      <c r="H27" s="625"/>
      <c r="I27" s="625"/>
      <c r="J27" s="625"/>
      <c r="K27" s="28"/>
      <c r="L27" s="66"/>
      <c r="S27" s="66"/>
      <c r="T27" s="66"/>
      <c r="U27" s="66"/>
      <c r="V27" s="66"/>
      <c r="W27" s="30"/>
    </row>
    <row r="28" spans="1:23" ht="19.5" customHeight="1">
      <c r="A28" s="47"/>
      <c r="B28" s="66"/>
      <c r="C28" s="66"/>
      <c r="D28" s="66"/>
      <c r="E28" s="66"/>
      <c r="F28" s="66"/>
      <c r="G28" s="66"/>
      <c r="H28" s="625"/>
      <c r="I28" s="625"/>
      <c r="J28" s="625"/>
      <c r="K28" s="28"/>
      <c r="L28" s="66"/>
      <c r="S28" s="66"/>
      <c r="T28" s="66"/>
      <c r="U28" s="66"/>
      <c r="V28" s="66"/>
      <c r="W28" s="30"/>
    </row>
    <row r="29" spans="1:23" ht="19.5" customHeight="1">
      <c r="A29" s="47"/>
      <c r="B29" s="66"/>
      <c r="C29" s="66"/>
      <c r="D29" s="66"/>
      <c r="E29" s="66"/>
      <c r="F29" s="66"/>
      <c r="G29" s="66"/>
      <c r="H29" s="625"/>
      <c r="I29" s="625"/>
      <c r="J29" s="625"/>
      <c r="K29" s="28"/>
      <c r="L29" s="66"/>
      <c r="S29" s="66"/>
      <c r="T29" s="66"/>
      <c r="U29" s="66"/>
      <c r="V29" s="66"/>
      <c r="W29" s="30"/>
    </row>
    <row r="30" spans="1:23" ht="19.5" customHeight="1">
      <c r="A30" s="47"/>
      <c r="B30" s="66"/>
      <c r="C30" s="66"/>
      <c r="D30" s="66"/>
      <c r="E30" s="66"/>
      <c r="F30" s="66"/>
      <c r="G30" s="66"/>
      <c r="H30" s="625"/>
      <c r="I30" s="625"/>
      <c r="J30" s="625"/>
      <c r="K30" s="28"/>
      <c r="L30" s="66"/>
      <c r="S30" s="66"/>
      <c r="T30" s="66"/>
      <c r="U30" s="66"/>
      <c r="V30" s="66"/>
      <c r="W30" s="30"/>
    </row>
    <row r="31" spans="1:23" ht="19.5" customHeight="1">
      <c r="A31" s="47"/>
      <c r="B31" s="272"/>
      <c r="C31" s="66"/>
      <c r="D31" s="66"/>
      <c r="E31" s="658"/>
      <c r="F31" s="66"/>
      <c r="G31" s="66"/>
      <c r="H31" s="625"/>
      <c r="I31" s="625"/>
      <c r="J31" s="625"/>
      <c r="K31" s="28"/>
      <c r="L31" s="66"/>
      <c r="S31" s="66"/>
      <c r="T31" s="66"/>
      <c r="U31" s="66"/>
      <c r="V31" s="66"/>
      <c r="W31" s="30"/>
    </row>
    <row r="32" spans="1:23" ht="19.5" customHeight="1">
      <c r="A32" s="47"/>
      <c r="B32" s="66"/>
      <c r="C32" s="66"/>
      <c r="D32" s="66"/>
      <c r="E32" s="659"/>
      <c r="F32" s="66"/>
      <c r="G32" s="66"/>
      <c r="H32" s="625"/>
      <c r="I32" s="625"/>
      <c r="J32" s="625"/>
      <c r="K32" s="28"/>
      <c r="L32" s="66"/>
      <c r="S32" s="66"/>
      <c r="T32" s="66"/>
      <c r="U32" s="66"/>
      <c r="V32" s="66"/>
      <c r="W32" s="30"/>
    </row>
    <row r="33" spans="1:23" ht="19.5" customHeight="1">
      <c r="A33" s="47"/>
      <c r="B33" s="66"/>
      <c r="C33" s="660"/>
      <c r="D33" s="66"/>
      <c r="E33" s="607"/>
      <c r="F33" s="273"/>
      <c r="G33" s="66"/>
      <c r="H33" s="625"/>
      <c r="I33" s="625"/>
      <c r="J33" s="625"/>
      <c r="K33" s="28"/>
      <c r="L33" s="66"/>
      <c r="S33" s="273"/>
      <c r="T33" s="273"/>
      <c r="U33" s="66"/>
      <c r="V33" s="66"/>
      <c r="W33" s="30"/>
    </row>
    <row r="34" spans="1:23" ht="19.5" customHeight="1">
      <c r="A34" s="47"/>
      <c r="B34" s="66"/>
      <c r="C34" s="660"/>
      <c r="D34" s="66"/>
      <c r="E34" s="607"/>
      <c r="F34" s="68"/>
      <c r="G34" s="66"/>
      <c r="H34" s="625"/>
      <c r="I34" s="625"/>
      <c r="J34" s="625"/>
      <c r="K34" s="28"/>
      <c r="L34" s="66"/>
      <c r="S34" s="68"/>
      <c r="T34" s="68"/>
      <c r="U34" s="66"/>
      <c r="V34" s="66"/>
      <c r="W34" s="30"/>
    </row>
    <row r="35" spans="1:23" ht="19.5" customHeight="1">
      <c r="A35" s="47"/>
      <c r="B35" s="66"/>
      <c r="C35" s="660"/>
      <c r="D35" s="66"/>
      <c r="E35" s="67"/>
      <c r="F35" s="660"/>
      <c r="G35" s="66"/>
      <c r="H35" s="625"/>
      <c r="I35" s="625"/>
      <c r="J35" s="625"/>
      <c r="K35" s="28"/>
      <c r="L35" s="66"/>
      <c r="S35" s="68"/>
      <c r="T35" s="68"/>
      <c r="U35" s="66"/>
      <c r="V35" s="66"/>
      <c r="W35" s="30"/>
    </row>
    <row r="36" spans="1:23" ht="19.5" customHeight="1">
      <c r="A36" s="47"/>
      <c r="B36" s="66"/>
      <c r="C36" s="661"/>
      <c r="D36" s="66"/>
      <c r="E36" s="607"/>
      <c r="F36" s="660"/>
      <c r="G36" s="66"/>
      <c r="H36" s="625"/>
      <c r="I36" s="625"/>
      <c r="J36" s="625"/>
      <c r="K36" s="28"/>
      <c r="L36" s="66"/>
      <c r="S36" s="68"/>
      <c r="T36" s="68"/>
      <c r="U36" s="66"/>
      <c r="V36" s="66"/>
      <c r="W36" s="30"/>
    </row>
    <row r="37" spans="1:23" ht="19.5" customHeight="1">
      <c r="A37" s="47"/>
      <c r="B37" s="66"/>
      <c r="C37" s="66"/>
      <c r="D37" s="66"/>
      <c r="E37" s="67"/>
      <c r="F37" s="660"/>
      <c r="G37" s="66"/>
      <c r="H37" s="625"/>
      <c r="I37" s="625"/>
      <c r="J37" s="625"/>
      <c r="K37" s="28"/>
      <c r="L37" s="66"/>
      <c r="S37" s="68"/>
      <c r="T37" s="68"/>
      <c r="U37" s="66"/>
      <c r="V37" s="66"/>
      <c r="W37" s="30"/>
    </row>
    <row r="38" spans="1:23" ht="19.5" customHeight="1">
      <c r="A38" s="48"/>
      <c r="B38" s="66"/>
      <c r="C38" s="660"/>
      <c r="D38" s="68"/>
      <c r="E38" s="607"/>
      <c r="F38" s="619"/>
      <c r="G38" s="66"/>
      <c r="H38" s="625"/>
      <c r="I38" s="625"/>
      <c r="J38" s="625"/>
      <c r="K38" s="28"/>
      <c r="L38" s="66"/>
      <c r="S38" s="68"/>
      <c r="T38" s="68"/>
      <c r="U38" s="66"/>
      <c r="V38" s="66"/>
      <c r="W38" s="30"/>
    </row>
    <row r="39" spans="1:23" ht="19.5" customHeight="1">
      <c r="A39" s="122"/>
      <c r="B39" s="621"/>
      <c r="C39" s="66"/>
      <c r="D39" s="66"/>
      <c r="E39" s="607"/>
      <c r="F39" s="619"/>
      <c r="G39" s="66"/>
      <c r="H39" s="625"/>
      <c r="I39" s="625"/>
      <c r="J39" s="625"/>
      <c r="K39" s="28"/>
      <c r="L39" s="66"/>
      <c r="S39" s="68"/>
      <c r="T39" s="68"/>
      <c r="U39" s="66"/>
      <c r="V39" s="66"/>
      <c r="W39" s="30"/>
    </row>
    <row r="40" spans="1:23" ht="15.75">
      <c r="A40" s="122"/>
      <c r="B40" s="66"/>
      <c r="C40" s="66"/>
      <c r="D40" s="66"/>
      <c r="E40" s="66"/>
      <c r="F40" s="68"/>
      <c r="G40" s="605"/>
      <c r="H40" s="625"/>
      <c r="I40" s="625"/>
      <c r="J40" s="625"/>
      <c r="K40" s="378"/>
      <c r="L40" s="68"/>
      <c r="M40" s="272"/>
      <c r="N40" s="66"/>
      <c r="O40" s="68"/>
      <c r="P40" s="68"/>
      <c r="Q40" s="68"/>
      <c r="R40" s="68"/>
      <c r="S40" s="68"/>
      <c r="T40" s="68"/>
      <c r="U40" s="66"/>
      <c r="V40" s="68"/>
      <c r="W40" s="31"/>
    </row>
    <row r="41" spans="1:10" ht="15.75">
      <c r="A41" s="122"/>
      <c r="B41" s="66"/>
      <c r="C41" s="66"/>
      <c r="D41" s="66"/>
      <c r="E41" s="66"/>
      <c r="F41" s="66"/>
      <c r="G41" s="30"/>
      <c r="H41" s="30"/>
      <c r="I41" s="30"/>
      <c r="J41" s="30"/>
    </row>
  </sheetData>
  <printOptions/>
  <pageMargins left="0.24" right="0.22" top="0.45" bottom="1" header="0.4921259845" footer="0.4921259845"/>
  <pageSetup horizontalDpi="300" verticalDpi="3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workbookViewId="0" topLeftCell="A1">
      <selection activeCell="B20" sqref="B20"/>
    </sheetView>
  </sheetViews>
  <sheetFormatPr defaultColWidth="11.421875" defaultRowHeight="12.75"/>
  <sheetData>
    <row r="2" spans="1:9" ht="15">
      <c r="A2" s="776"/>
      <c r="B2" s="774"/>
      <c r="C2" s="774"/>
      <c r="D2" s="774"/>
      <c r="E2" s="774"/>
      <c r="F2" s="774"/>
      <c r="G2" s="774"/>
      <c r="H2" s="774"/>
      <c r="I2" s="775"/>
    </row>
    <row r="3" spans="1:9" ht="34.5" customHeight="1">
      <c r="A3" s="776" t="s">
        <v>104</v>
      </c>
      <c r="B3" s="774"/>
      <c r="C3" s="774"/>
      <c r="D3" s="774"/>
      <c r="E3" s="774"/>
      <c r="F3" s="774"/>
      <c r="G3" s="774"/>
      <c r="H3" s="774"/>
      <c r="I3" s="775"/>
    </row>
    <row r="4" spans="1:9" ht="34.5" customHeight="1">
      <c r="A4" s="776" t="s">
        <v>156</v>
      </c>
      <c r="B4" s="774"/>
      <c r="C4" s="774"/>
      <c r="D4" s="774"/>
      <c r="E4" s="774"/>
      <c r="F4" s="774"/>
      <c r="G4" s="774"/>
      <c r="H4" s="774"/>
      <c r="I4" s="775"/>
    </row>
    <row r="5" spans="1:9" ht="15">
      <c r="A5" s="776" t="s">
        <v>105</v>
      </c>
      <c r="B5" s="774"/>
      <c r="C5" s="774"/>
      <c r="D5" s="774"/>
      <c r="E5" s="774"/>
      <c r="F5" s="774"/>
      <c r="G5" s="774"/>
      <c r="H5" s="774"/>
      <c r="I5" s="775"/>
    </row>
    <row r="6" spans="1:9" ht="15">
      <c r="A6" s="776" t="s">
        <v>108</v>
      </c>
      <c r="B6" s="774"/>
      <c r="C6" s="774"/>
      <c r="D6" s="774"/>
      <c r="E6" s="774"/>
      <c r="F6" s="774"/>
      <c r="G6" s="774"/>
      <c r="H6" s="774"/>
      <c r="I6" s="775"/>
    </row>
    <row r="7" spans="1:9" ht="15">
      <c r="A7" s="776" t="s">
        <v>109</v>
      </c>
      <c r="B7" s="774"/>
      <c r="C7" s="774"/>
      <c r="D7" s="774"/>
      <c r="E7" s="774"/>
      <c r="F7" s="774"/>
      <c r="G7" s="774"/>
      <c r="H7" s="774"/>
      <c r="I7" s="775"/>
    </row>
    <row r="8" spans="1:9" ht="15">
      <c r="A8" s="776" t="s">
        <v>107</v>
      </c>
      <c r="B8" s="774"/>
      <c r="C8" s="774"/>
      <c r="D8" s="774"/>
      <c r="E8" s="774"/>
      <c r="F8" s="774"/>
      <c r="G8" s="774"/>
      <c r="H8" s="774"/>
      <c r="I8" s="775"/>
    </row>
    <row r="9" spans="1:9" ht="34.5" customHeight="1">
      <c r="A9" s="776" t="s">
        <v>110</v>
      </c>
      <c r="B9" s="774"/>
      <c r="C9" s="774"/>
      <c r="D9" s="774"/>
      <c r="E9" s="774"/>
      <c r="F9" s="774"/>
      <c r="G9" s="774"/>
      <c r="H9" s="774"/>
      <c r="I9" s="775"/>
    </row>
    <row r="10" spans="1:9" ht="15">
      <c r="A10" s="776" t="s">
        <v>111</v>
      </c>
      <c r="B10" s="774"/>
      <c r="C10" s="774"/>
      <c r="D10" s="774"/>
      <c r="E10" s="774"/>
      <c r="F10" s="774"/>
      <c r="G10" s="774"/>
      <c r="H10" s="774"/>
      <c r="I10" s="775"/>
    </row>
    <row r="11" spans="1:9" ht="15">
      <c r="A11" s="776" t="s">
        <v>122</v>
      </c>
      <c r="B11" s="774"/>
      <c r="C11" s="774"/>
      <c r="D11" s="774"/>
      <c r="E11" s="774"/>
      <c r="F11" s="774"/>
      <c r="G11" s="774"/>
      <c r="H11" s="774"/>
      <c r="I11" s="775"/>
    </row>
    <row r="12" spans="1:9" ht="34.5" customHeight="1">
      <c r="A12" s="776" t="s">
        <v>197</v>
      </c>
      <c r="B12" s="774"/>
      <c r="C12" s="774"/>
      <c r="D12" s="774"/>
      <c r="E12" s="774"/>
      <c r="F12" s="774"/>
      <c r="G12" s="774"/>
      <c r="H12" s="774"/>
      <c r="I12" s="775"/>
    </row>
    <row r="13" spans="1:9" ht="33" customHeight="1">
      <c r="A13" s="773" t="s">
        <v>137</v>
      </c>
      <c r="B13" s="774"/>
      <c r="C13" s="774"/>
      <c r="D13" s="774"/>
      <c r="E13" s="774"/>
      <c r="F13" s="774"/>
      <c r="G13" s="774"/>
      <c r="H13" s="774"/>
      <c r="I13" s="775"/>
    </row>
    <row r="14" spans="1:9" ht="15">
      <c r="A14" s="773" t="s">
        <v>155</v>
      </c>
      <c r="B14" s="774"/>
      <c r="C14" s="774"/>
      <c r="D14" s="774"/>
      <c r="E14" s="774"/>
      <c r="F14" s="774"/>
      <c r="G14" s="774"/>
      <c r="H14" s="774"/>
      <c r="I14" s="775"/>
    </row>
    <row r="15" spans="1:9" ht="28.5" customHeight="1">
      <c r="A15" s="773" t="s">
        <v>201</v>
      </c>
      <c r="B15" s="774"/>
      <c r="C15" s="774"/>
      <c r="D15" s="774"/>
      <c r="E15" s="774"/>
      <c r="F15" s="774"/>
      <c r="G15" s="774"/>
      <c r="H15" s="774"/>
      <c r="I15" s="775"/>
    </row>
    <row r="16" spans="1:11" ht="12.75">
      <c r="A16" s="616"/>
      <c r="B16" s="616"/>
      <c r="C16" s="616"/>
      <c r="D16" s="616"/>
      <c r="E16" s="616"/>
      <c r="F16" s="616"/>
      <c r="G16" s="616"/>
      <c r="H16" s="616"/>
      <c r="I16" s="617"/>
      <c r="K16" s="512"/>
    </row>
    <row r="17" spans="1:11" ht="12.75">
      <c r="A17" s="616"/>
      <c r="B17" s="616"/>
      <c r="C17" s="616"/>
      <c r="D17" s="616"/>
      <c r="E17" s="616"/>
      <c r="F17" s="616"/>
      <c r="G17" s="616"/>
      <c r="H17" s="616"/>
      <c r="I17" s="617"/>
      <c r="K17" s="512"/>
    </row>
    <row r="18" spans="1:11" ht="12.75">
      <c r="A18" s="616"/>
      <c r="B18" s="616"/>
      <c r="C18" s="616"/>
      <c r="D18" s="616"/>
      <c r="E18" s="616"/>
      <c r="F18" s="616"/>
      <c r="G18" s="616"/>
      <c r="H18" s="616"/>
      <c r="I18" s="617"/>
      <c r="K18" s="512"/>
    </row>
    <row r="19" spans="1:11" ht="12.75">
      <c r="A19" s="616"/>
      <c r="B19" s="616"/>
      <c r="C19" s="616"/>
      <c r="D19" s="616"/>
      <c r="E19" s="616"/>
      <c r="F19" s="616"/>
      <c r="G19" s="616"/>
      <c r="H19" s="616"/>
      <c r="I19" s="617"/>
      <c r="K19" s="512"/>
    </row>
    <row r="20" spans="1:11" ht="12.75">
      <c r="A20" s="616"/>
      <c r="B20" s="616"/>
      <c r="C20" s="616"/>
      <c r="D20" s="616"/>
      <c r="E20" s="616"/>
      <c r="F20" s="616"/>
      <c r="G20" s="616"/>
      <c r="H20" s="616"/>
      <c r="I20" s="617"/>
      <c r="K20" s="512"/>
    </row>
    <row r="21" spans="1:11" ht="12.75">
      <c r="A21" s="616"/>
      <c r="B21" s="616"/>
      <c r="C21" s="616"/>
      <c r="D21" s="616"/>
      <c r="E21" s="616"/>
      <c r="F21" s="616"/>
      <c r="G21" s="616"/>
      <c r="H21" s="616"/>
      <c r="I21" s="617"/>
      <c r="K21" s="512"/>
    </row>
    <row r="22" spans="9:11" ht="12.75">
      <c r="I22" s="513"/>
      <c r="K22" s="512"/>
    </row>
    <row r="23" spans="9:11" ht="12.75">
      <c r="I23" s="513"/>
      <c r="K23" s="512"/>
    </row>
    <row r="24" spans="9:11" ht="12.75">
      <c r="I24" s="513"/>
      <c r="K24" s="512"/>
    </row>
    <row r="25" spans="9:11" ht="12.75">
      <c r="I25" s="513"/>
      <c r="K25" s="512"/>
    </row>
    <row r="26" spans="9:11" ht="12.75">
      <c r="I26" s="513"/>
      <c r="K26" s="512"/>
    </row>
    <row r="27" spans="9:11" ht="12.75">
      <c r="I27" s="513"/>
      <c r="K27" s="512"/>
    </row>
    <row r="28" spans="9:11" ht="12.75">
      <c r="I28" s="513"/>
      <c r="K28" s="512"/>
    </row>
    <row r="29" spans="9:11" ht="12.75">
      <c r="I29" s="514"/>
      <c r="K29" s="512"/>
    </row>
    <row r="30" ht="12.75">
      <c r="I30" s="515"/>
    </row>
    <row r="31" ht="12.75">
      <c r="I31" s="515"/>
    </row>
    <row r="32" ht="12.75">
      <c r="I32" s="515"/>
    </row>
  </sheetData>
  <mergeCells count="14">
    <mergeCell ref="A10:I10"/>
    <mergeCell ref="A6:I6"/>
    <mergeCell ref="A7:I7"/>
    <mergeCell ref="A8:I8"/>
    <mergeCell ref="A9:I9"/>
    <mergeCell ref="A2:I2"/>
    <mergeCell ref="A3:I3"/>
    <mergeCell ref="A4:I4"/>
    <mergeCell ref="A5:I5"/>
    <mergeCell ref="A15:I15"/>
    <mergeCell ref="A11:I11"/>
    <mergeCell ref="A12:I12"/>
    <mergeCell ref="A13:I13"/>
    <mergeCell ref="A14:I14"/>
  </mergeCells>
  <printOptions/>
  <pageMargins left="0.75" right="0.75" top="1" bottom="1" header="0.4921259845" footer="0.4921259845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Jogi</cp:lastModifiedBy>
  <cp:lastPrinted>2010-01-10T09:06:41Z</cp:lastPrinted>
  <dcterms:created xsi:type="dcterms:W3CDTF">2009-10-02T20:11:31Z</dcterms:created>
  <dcterms:modified xsi:type="dcterms:W3CDTF">2010-01-10T14:28:02Z</dcterms:modified>
  <cp:category/>
  <cp:version/>
  <cp:contentType/>
  <cp:contentStatus/>
</cp:coreProperties>
</file>